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f-srvv-webdata.ad.ufl.edu\websites$\dairy.ifas.ufl.edu\tools\"/>
    </mc:Choice>
  </mc:AlternateContent>
  <bookViews>
    <workbookView xWindow="0" yWindow="0" windowWidth="28800" windowHeight="11850"/>
  </bookViews>
  <sheets>
    <sheet name="notes" sheetId="4" r:id="rId1"/>
    <sheet name="sire comparison" sheetId="2" r:id="rId2"/>
    <sheet name="sensitivity" sheetId="1" r:id="rId3"/>
    <sheet name="geneflow" sheetId="3" r:id="rId4"/>
    <sheet name="exampl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G12" i="2"/>
  <c r="K30" i="5" l="1"/>
  <c r="K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30" i="5"/>
  <c r="C31" i="5" s="1"/>
  <c r="L23" i="5"/>
  <c r="K23" i="5" s="1"/>
  <c r="C23" i="5"/>
  <c r="K15" i="5"/>
  <c r="I15" i="5"/>
  <c r="H15" i="5"/>
  <c r="G15" i="5"/>
  <c r="F15" i="5"/>
  <c r="E15" i="5"/>
  <c r="D15" i="5"/>
  <c r="C15" i="5"/>
  <c r="K13" i="5"/>
  <c r="K16" i="5" s="1"/>
  <c r="I13" i="5"/>
  <c r="I16" i="5" s="1"/>
  <c r="H13" i="5"/>
  <c r="H16" i="5" s="1"/>
  <c r="G13" i="5"/>
  <c r="G16" i="5" s="1"/>
  <c r="F13" i="5"/>
  <c r="F16" i="5" s="1"/>
  <c r="E13" i="5"/>
  <c r="E16" i="5" s="1"/>
  <c r="D13" i="5"/>
  <c r="D16" i="5" s="1"/>
  <c r="C13" i="5"/>
  <c r="C16" i="5" s="1"/>
  <c r="K10" i="5"/>
  <c r="I10" i="5"/>
  <c r="H10" i="5"/>
  <c r="G10" i="5"/>
  <c r="F10" i="5"/>
  <c r="E10" i="5"/>
  <c r="D10" i="5"/>
  <c r="C10" i="5"/>
  <c r="K6" i="5"/>
  <c r="K11" i="5" s="1"/>
  <c r="K17" i="5" s="1"/>
  <c r="K19" i="5" s="1"/>
  <c r="K24" i="5" s="1"/>
  <c r="I6" i="5"/>
  <c r="I11" i="5" s="1"/>
  <c r="I17" i="5" s="1"/>
  <c r="I19" i="5" s="1"/>
  <c r="H6" i="5"/>
  <c r="H11" i="5" s="1"/>
  <c r="H17" i="5" s="1"/>
  <c r="H19" i="5" s="1"/>
  <c r="G6" i="5"/>
  <c r="G11" i="5" s="1"/>
  <c r="G17" i="5" s="1"/>
  <c r="G19" i="5" s="1"/>
  <c r="F6" i="5"/>
  <c r="F11" i="5" s="1"/>
  <c r="F17" i="5" s="1"/>
  <c r="F19" i="5" s="1"/>
  <c r="E6" i="5"/>
  <c r="E7" i="5" s="1"/>
  <c r="D6" i="5"/>
  <c r="D7" i="5" s="1"/>
  <c r="C6" i="5"/>
  <c r="C7" i="5" s="1"/>
  <c r="L33" i="3"/>
  <c r="L24" i="3"/>
  <c r="L25" i="3"/>
  <c r="L26" i="3"/>
  <c r="L27" i="3"/>
  <c r="L28" i="3"/>
  <c r="L29" i="3"/>
  <c r="L30" i="3"/>
  <c r="L31" i="3"/>
  <c r="L23" i="3"/>
  <c r="I24" i="3"/>
  <c r="I25" i="3" s="1"/>
  <c r="I26" i="3" s="1"/>
  <c r="I27" i="3" s="1"/>
  <c r="I28" i="3" s="1"/>
  <c r="I29" i="3" s="1"/>
  <c r="I30" i="3" s="1"/>
  <c r="I31" i="3" s="1"/>
  <c r="I23" i="3"/>
  <c r="J7" i="3"/>
  <c r="J14" i="3" s="1"/>
  <c r="K11" i="3"/>
  <c r="M10" i="3"/>
  <c r="N10" i="3" s="1"/>
  <c r="L10" i="3"/>
  <c r="K12" i="3"/>
  <c r="K13" i="3"/>
  <c r="K14" i="3"/>
  <c r="K15" i="3"/>
  <c r="K10" i="3"/>
  <c r="I12" i="3"/>
  <c r="I13" i="3"/>
  <c r="I14" i="3" s="1"/>
  <c r="I15" i="3" s="1"/>
  <c r="I11" i="3"/>
  <c r="F24" i="5" l="1"/>
  <c r="F32" i="5" s="1"/>
  <c r="K32" i="5"/>
  <c r="L26" i="5"/>
  <c r="H24" i="5"/>
  <c r="H32" i="5" s="1"/>
  <c r="C11" i="5"/>
  <c r="C17" i="5" s="1"/>
  <c r="C19" i="5" s="1"/>
  <c r="C24" i="5" s="1"/>
  <c r="C32" i="5" s="1"/>
  <c r="E11" i="5"/>
  <c r="E17" i="5" s="1"/>
  <c r="E19" i="5" s="1"/>
  <c r="G7" i="5"/>
  <c r="G23" i="5"/>
  <c r="G24" i="5" s="1"/>
  <c r="G32" i="5" s="1"/>
  <c r="D11" i="5"/>
  <c r="D17" i="5" s="1"/>
  <c r="D19" i="5" s="1"/>
  <c r="D24" i="5" s="1"/>
  <c r="D32" i="5" s="1"/>
  <c r="D23" i="5"/>
  <c r="H7" i="5"/>
  <c r="H23" i="5"/>
  <c r="F7" i="5"/>
  <c r="F23" i="5"/>
  <c r="I7" i="5"/>
  <c r="I23" i="5"/>
  <c r="I24" i="5" s="1"/>
  <c r="I32" i="5" s="1"/>
  <c r="E23" i="5"/>
  <c r="K7" i="5"/>
  <c r="L32" i="3"/>
  <c r="J13" i="3"/>
  <c r="J12" i="3"/>
  <c r="L12" i="3" s="1"/>
  <c r="J11" i="3"/>
  <c r="J15" i="3"/>
  <c r="L15" i="3" s="1"/>
  <c r="M11" i="3"/>
  <c r="I16" i="3"/>
  <c r="L14" i="3"/>
  <c r="O10" i="3"/>
  <c r="K24" i="1"/>
  <c r="K30" i="1"/>
  <c r="H14" i="2"/>
  <c r="H22" i="2" s="1"/>
  <c r="I23" i="2"/>
  <c r="E24" i="5" l="1"/>
  <c r="E32" i="5" s="1"/>
  <c r="L13" i="3"/>
  <c r="L11" i="3"/>
  <c r="J16" i="3"/>
  <c r="N11" i="3"/>
  <c r="M12" i="3"/>
  <c r="G14" i="2"/>
  <c r="G22" i="2" s="1"/>
  <c r="C6" i="1"/>
  <c r="C11" i="1" s="1"/>
  <c r="D6" i="1"/>
  <c r="D11" i="1" s="1"/>
  <c r="E6" i="1"/>
  <c r="E11" i="1" s="1"/>
  <c r="F6" i="1"/>
  <c r="F11" i="1" s="1"/>
  <c r="G6" i="1"/>
  <c r="G11" i="1" s="1"/>
  <c r="H6" i="1"/>
  <c r="H7" i="1" s="1"/>
  <c r="I6" i="1"/>
  <c r="I7" i="1" s="1"/>
  <c r="K6" i="1"/>
  <c r="K7" i="1" s="1"/>
  <c r="C7" i="1"/>
  <c r="D7" i="1"/>
  <c r="E7" i="1"/>
  <c r="C10" i="1"/>
  <c r="D10" i="1"/>
  <c r="E10" i="1"/>
  <c r="F10" i="1"/>
  <c r="G10" i="1"/>
  <c r="H10" i="1"/>
  <c r="I10" i="1"/>
  <c r="K10" i="1"/>
  <c r="C13" i="1"/>
  <c r="C16" i="1" s="1"/>
  <c r="D13" i="1"/>
  <c r="E13" i="1"/>
  <c r="F13" i="1"/>
  <c r="F16" i="1" s="1"/>
  <c r="G13" i="1"/>
  <c r="G16" i="1" s="1"/>
  <c r="H13" i="1"/>
  <c r="I13" i="1"/>
  <c r="I16" i="1" s="1"/>
  <c r="K13" i="1"/>
  <c r="K16" i="1" s="1"/>
  <c r="C15" i="1"/>
  <c r="D15" i="1"/>
  <c r="E15" i="1"/>
  <c r="F15" i="1"/>
  <c r="G15" i="1"/>
  <c r="H15" i="1"/>
  <c r="I15" i="1"/>
  <c r="K15" i="1"/>
  <c r="D16" i="1"/>
  <c r="E16" i="1"/>
  <c r="H16" i="1"/>
  <c r="L23" i="1"/>
  <c r="C23" i="1" s="1"/>
  <c r="C30" i="1"/>
  <c r="D30" i="1"/>
  <c r="E30" i="1"/>
  <c r="E31" i="1" s="1"/>
  <c r="F30" i="1"/>
  <c r="F31" i="1" s="1"/>
  <c r="G30" i="1"/>
  <c r="H30" i="1"/>
  <c r="H31" i="1" s="1"/>
  <c r="I30" i="1"/>
  <c r="I31" i="1" s="1"/>
  <c r="K31" i="1"/>
  <c r="D31" i="1"/>
  <c r="O11" i="3" l="1"/>
  <c r="M13" i="3"/>
  <c r="N12" i="3"/>
  <c r="O12" i="3" s="1"/>
  <c r="I22" i="2"/>
  <c r="I24" i="2" s="1"/>
  <c r="I25" i="2" s="1"/>
  <c r="E17" i="1"/>
  <c r="E19" i="1" s="1"/>
  <c r="F23" i="1"/>
  <c r="G7" i="1"/>
  <c r="F17" i="1"/>
  <c r="F19" i="1" s="1"/>
  <c r="D17" i="1"/>
  <c r="D19" i="1" s="1"/>
  <c r="I11" i="1"/>
  <c r="I17" i="1" s="1"/>
  <c r="I19" i="1" s="1"/>
  <c r="H11" i="1"/>
  <c r="H17" i="1" s="1"/>
  <c r="H19" i="1" s="1"/>
  <c r="F7" i="1"/>
  <c r="D23" i="1"/>
  <c r="D24" i="1" s="1"/>
  <c r="D32" i="1" s="1"/>
  <c r="G17" i="1"/>
  <c r="G19" i="1" s="1"/>
  <c r="C17" i="1"/>
  <c r="C19" i="1" s="1"/>
  <c r="K23" i="1"/>
  <c r="K11" i="1"/>
  <c r="K17" i="1" s="1"/>
  <c r="K19" i="1" s="1"/>
  <c r="H23" i="1"/>
  <c r="H24" i="1" s="1"/>
  <c r="H32" i="1" s="1"/>
  <c r="C24" i="1"/>
  <c r="I23" i="1"/>
  <c r="E23" i="1"/>
  <c r="G31" i="1"/>
  <c r="C31" i="1"/>
  <c r="G23" i="1"/>
  <c r="N13" i="3" l="1"/>
  <c r="O13" i="3" s="1"/>
  <c r="M14" i="3"/>
  <c r="E24" i="1"/>
  <c r="E32" i="1" s="1"/>
  <c r="E33" i="1" s="1"/>
  <c r="F24" i="1"/>
  <c r="F32" i="1" s="1"/>
  <c r="F33" i="1" s="1"/>
  <c r="I24" i="1"/>
  <c r="I32" i="1" s="1"/>
  <c r="G24" i="1"/>
  <c r="G32" i="1" s="1"/>
  <c r="G33" i="1" s="1"/>
  <c r="H34" i="1"/>
  <c r="H33" i="1"/>
  <c r="D33" i="1"/>
  <c r="D34" i="1"/>
  <c r="C32" i="1"/>
  <c r="C34" i="1" s="1"/>
  <c r="I33" i="1"/>
  <c r="I34" i="1"/>
  <c r="M15" i="3" l="1"/>
  <c r="N15" i="3" s="1"/>
  <c r="O15" i="3" s="1"/>
  <c r="N14" i="3"/>
  <c r="O14" i="3" s="1"/>
  <c r="E34" i="1"/>
  <c r="F34" i="1"/>
  <c r="C33" i="1"/>
  <c r="G34" i="1"/>
  <c r="K32" i="1"/>
  <c r="L26" i="1"/>
  <c r="O16" i="3" l="1"/>
  <c r="K33" i="1"/>
  <c r="K34" i="1"/>
</calcChain>
</file>

<file path=xl/sharedStrings.xml><?xml version="1.0" encoding="utf-8"?>
<sst xmlns="http://schemas.openxmlformats.org/spreadsheetml/2006/main" count="155" uniqueCount="112">
  <si>
    <t>risk adjustment for proven sires</t>
  </si>
  <si>
    <t>risk adjustment for genomic young sires</t>
  </si>
  <si>
    <t>net present value per breeding: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</si>
  <si>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value SCR for bred animal</t>
    </r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</si>
  <si>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 xml:space="preserve"> days open bred animal</t>
    </r>
  </si>
  <si>
    <t>21-day service rate</t>
  </si>
  <si>
    <t>value of 1 %-point SCR</t>
  </si>
  <si>
    <r>
      <rPr>
        <b/>
        <sz val="11"/>
        <color theme="1"/>
        <rFont val="Calibri"/>
        <family val="2"/>
      </rPr>
      <t xml:space="preserve">Δ </t>
    </r>
    <r>
      <rPr>
        <b/>
        <sz val="11"/>
        <color theme="1"/>
        <rFont val="Calibri"/>
        <family val="2"/>
        <scheme val="minor"/>
      </rPr>
      <t>NM$ per $1 net present value</t>
    </r>
  </si>
  <si>
    <r>
      <rPr>
        <sz val="11"/>
        <color theme="1"/>
        <rFont val="Calibri"/>
        <family val="2"/>
      </rPr>
      <t xml:space="preserve">Δ </t>
    </r>
    <r>
      <rPr>
        <sz val="11"/>
        <color theme="1"/>
        <rFont val="Calibri"/>
        <family val="2"/>
        <scheme val="minor"/>
      </rPr>
      <t>net present value/breeding</t>
    </r>
  </si>
  <si>
    <t>=1/2.78</t>
  </si>
  <si>
    <t>herd cull rate</t>
  </si>
  <si>
    <t>geneflow and discounting</t>
  </si>
  <si>
    <t>#calves that become a cow/breeding</t>
  </si>
  <si>
    <t>calf becomes a cow</t>
  </si>
  <si>
    <t>#single females/breeding</t>
  </si>
  <si>
    <t>single males</t>
  </si>
  <si>
    <t xml:space="preserve">single females </t>
  </si>
  <si>
    <t>twins</t>
  </si>
  <si>
    <t>male calf</t>
  </si>
  <si>
    <t>grand daughters</t>
  </si>
  <si>
    <t>female calf</t>
  </si>
  <si>
    <t>daughters</t>
  </si>
  <si>
    <t>#calvings/breeding</t>
  </si>
  <si>
    <t>current calf</t>
  </si>
  <si>
    <t>calves born per conception</t>
  </si>
  <si>
    <t>discount</t>
  </si>
  <si>
    <t>genetics</t>
  </si>
  <si>
    <t>to calving</t>
  </si>
  <si>
    <t>generation</t>
  </si>
  <si>
    <t>pregnant cow is culled</t>
  </si>
  <si>
    <t>&amp; discount</t>
  </si>
  <si>
    <t>superior</t>
  </si>
  <si>
    <t>survival</t>
  </si>
  <si>
    <t xml:space="preserve">number </t>
  </si>
  <si>
    <t>abortions (after conception)</t>
  </si>
  <si>
    <t>gene flow</t>
  </si>
  <si>
    <t>rate</t>
  </si>
  <si>
    <t xml:space="preserve">expression </t>
  </si>
  <si>
    <t xml:space="preserve">fraction of </t>
  </si>
  <si>
    <t>#conceptions/breeding</t>
  </si>
  <si>
    <t>interest</t>
  </si>
  <si>
    <t>years until</t>
  </si>
  <si>
    <t>D=A*B*C</t>
  </si>
  <si>
    <t>C</t>
  </si>
  <si>
    <t>B</t>
  </si>
  <si>
    <t>A</t>
  </si>
  <si>
    <t>conception rate</t>
  </si>
  <si>
    <t>F=D*E</t>
  </si>
  <si>
    <t>E</t>
  </si>
  <si>
    <t>sire conception rate = SCR</t>
  </si>
  <si>
    <t>Discounting</t>
  </si>
  <si>
    <t>Gene flow</t>
  </si>
  <si>
    <t>herd conception rate</t>
  </si>
  <si>
    <r>
      <rPr>
        <b/>
        <sz val="11"/>
        <color theme="1"/>
        <rFont val="Calibri"/>
        <family val="2"/>
      </rPr>
      <t xml:space="preserve">Δ </t>
    </r>
    <r>
      <rPr>
        <b/>
        <sz val="11"/>
        <color theme="1"/>
        <rFont val="Calibri"/>
        <family val="2"/>
        <scheme val="minor"/>
      </rPr>
      <t>NM$ per 1 breeding</t>
    </r>
  </si>
  <si>
    <t>from time of semen purchase to expression of genetics</t>
  </si>
  <si>
    <t>discounting and geneflow</t>
  </si>
  <si>
    <t>breeding</t>
  </si>
  <si>
    <t>dam</t>
  </si>
  <si>
    <t>sire A</t>
  </si>
  <si>
    <t>sire B</t>
  </si>
  <si>
    <t>dam conception rate</t>
  </si>
  <si>
    <t>PTA Net Merit, or PTA other economic index</t>
  </si>
  <si>
    <t>response to genetics</t>
  </si>
  <si>
    <t>annual cow cull rate</t>
  </si>
  <si>
    <t>semen cost/unit</t>
  </si>
  <si>
    <t>advantage sire A per unit of semen</t>
  </si>
  <si>
    <t>cost per day open</t>
  </si>
  <si>
    <t>dam 21-day service rate</t>
  </si>
  <si>
    <t>change in days open</t>
  </si>
  <si>
    <t>change in value due to change in days open</t>
  </si>
  <si>
    <t>conclusion</t>
  </si>
  <si>
    <t>higher for heifers, lower for cows</t>
  </si>
  <si>
    <t>approximate range $0 to $8. $2 is a good estimate.</t>
  </si>
  <si>
    <t>90% for sexed semen</t>
  </si>
  <si>
    <t>chances a calf born alive becomes a calving heifer</t>
  </si>
  <si>
    <t>&gt; 100% in well managed herds</t>
  </si>
  <si>
    <t>compare 2 sires for: Net Merit (or other economic index), sire conception rate, and semen price</t>
  </si>
  <si>
    <t>formulas are the same as on the sensitivity sheet</t>
  </si>
  <si>
    <t xml:space="preserve">sire A - </t>
  </si>
  <si>
    <t>note</t>
  </si>
  <si>
    <t>approximately from -8% to 8%</t>
  </si>
  <si>
    <t>determines when the next insemination is expected</t>
  </si>
  <si>
    <t>approximately 4% to 10%</t>
  </si>
  <si>
    <t>chance pregnant cow is culled</t>
  </si>
  <si>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numbers you may change, black numbers are formulas you should not change</t>
    </r>
  </si>
  <si>
    <t>future generations and time value of money. 1.3 is a good estimate</t>
  </si>
  <si>
    <t>lifetime value, assumed to be 2.78 lactations, or about 36% annual cow cull rate</t>
  </si>
  <si>
    <t>great grand daughters</t>
  </si>
  <si>
    <t>calf + daughters + grand daughters + great grand daughters</t>
  </si>
  <si>
    <t>&lt;= geneflow and discounting factor</t>
  </si>
  <si>
    <t>3x great grand daughters</t>
  </si>
  <si>
    <t>2x great grand daughters</t>
  </si>
  <si>
    <t>Albert De Vries</t>
  </si>
  <si>
    <t>Department of Animal Sciences</t>
  </si>
  <si>
    <t>University of Florida</t>
  </si>
  <si>
    <t>devries@ufl.edu</t>
  </si>
  <si>
    <t>of daughters</t>
  </si>
  <si>
    <t>df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</si>
  <si>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</si>
  <si>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</si>
  <si>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</si>
  <si>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</si>
  <si>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</si>
  <si>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</si>
  <si>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</si>
  <si>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</si>
  <si>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</si>
  <si>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</si>
  <si>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Economic value of genetic merit of dairy semen</t>
  </si>
  <si>
    <t>Equation from G. W. Rogers, Journal of Dairy Science 73:532-538 (1990)</t>
  </si>
  <si>
    <t>sensitivity analysis table</t>
  </si>
  <si>
    <t>spreadsheet version 10/21/2017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</si>
</sst>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"/>
    <numFmt numFmtId="166" formatCode="0.0%"/>
    <numFmt numFmtId="167" formatCode="0.000"/>
    <numFmt numFmtId="168" formatCode="0.00000000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44" fontId="0" fillId="0" borderId="0" xfId="1" applyFont="1"/>
    <xf numFmtId="164" fontId="2" fillId="0" borderId="0" xfId="1" applyNumberFormat="1" applyFont="1"/>
    <xf numFmtId="8" fontId="0" fillId="0" borderId="0" xfId="0" applyNumberFormat="1"/>
    <xf numFmtId="0" fontId="0" fillId="0" borderId="0" xfId="0" applyAlignment="1">
      <alignment horizontal="center"/>
    </xf>
    <xf numFmtId="166" fontId="2" fillId="0" borderId="0" xfId="0" applyNumberFormat="1" applyFont="1"/>
    <xf numFmtId="0" fontId="6" fillId="0" borderId="0" xfId="0" applyFont="1"/>
    <xf numFmtId="44" fontId="0" fillId="0" borderId="0" xfId="0" applyNumberFormat="1"/>
    <xf numFmtId="0" fontId="3" fillId="2" borderId="0" xfId="0" applyFont="1" applyFill="1"/>
    <xf numFmtId="0" fontId="0" fillId="2" borderId="0" xfId="0" applyFill="1"/>
    <xf numFmtId="8" fontId="0" fillId="2" borderId="1" xfId="0" applyNumberFormat="1" applyFill="1" applyBorder="1"/>
    <xf numFmtId="0" fontId="8" fillId="0" borderId="0" xfId="0" applyFont="1"/>
    <xf numFmtId="0" fontId="0" fillId="2" borderId="0" xfId="0" quotePrefix="1" applyFill="1"/>
    <xf numFmtId="10" fontId="0" fillId="2" borderId="0" xfId="2" applyNumberFormat="1" applyFont="1" applyFill="1"/>
    <xf numFmtId="166" fontId="0" fillId="2" borderId="0" xfId="0" applyNumberFormat="1" applyFill="1"/>
    <xf numFmtId="10" fontId="2" fillId="2" borderId="0" xfId="0" applyNumberFormat="1" applyFont="1" applyFill="1"/>
    <xf numFmtId="0" fontId="9" fillId="0" borderId="0" xfId="3"/>
    <xf numFmtId="9" fontId="2" fillId="2" borderId="0" xfId="0" applyNumberFormat="1" applyFont="1" applyFill="1"/>
    <xf numFmtId="0" fontId="2" fillId="2" borderId="0" xfId="0" applyFont="1" applyFill="1"/>
    <xf numFmtId="167" fontId="0" fillId="2" borderId="0" xfId="0" applyNumberFormat="1" applyFill="1"/>
    <xf numFmtId="0" fontId="5" fillId="0" borderId="0" xfId="0" applyFont="1"/>
    <xf numFmtId="165" fontId="5" fillId="0" borderId="0" xfId="0" applyNumberFormat="1" applyFont="1"/>
    <xf numFmtId="0" fontId="0" fillId="2" borderId="0" xfId="0" applyNumberFormat="1" applyFill="1"/>
    <xf numFmtId="0" fontId="0" fillId="3" borderId="0" xfId="0" applyFill="1"/>
    <xf numFmtId="0" fontId="0" fillId="4" borderId="0" xfId="0" applyFill="1"/>
    <xf numFmtId="2" fontId="0" fillId="3" borderId="1" xfId="0" applyNumberFormat="1" applyFill="1" applyBorder="1"/>
    <xf numFmtId="2" fontId="0" fillId="4" borderId="0" xfId="0" applyNumberFormat="1" applyFill="1"/>
    <xf numFmtId="9" fontId="0" fillId="2" borderId="0" xfId="0" applyNumberFormat="1" applyFill="1"/>
    <xf numFmtId="2" fontId="0" fillId="4" borderId="2" xfId="0" applyNumberFormat="1" applyFill="1" applyBorder="1"/>
    <xf numFmtId="0" fontId="2" fillId="4" borderId="2" xfId="0" applyFont="1" applyFill="1" applyBorder="1"/>
    <xf numFmtId="0" fontId="0" fillId="2" borderId="2" xfId="0" applyFill="1" applyBorder="1"/>
    <xf numFmtId="0" fontId="0" fillId="2" borderId="0" xfId="0" applyFill="1" applyAlignment="1">
      <alignment horizontal="right"/>
    </xf>
    <xf numFmtId="2" fontId="0" fillId="3" borderId="0" xfId="0" applyNumberFormat="1" applyFill="1"/>
    <xf numFmtId="0" fontId="2" fillId="4" borderId="0" xfId="0" applyFont="1" applyFill="1"/>
    <xf numFmtId="9" fontId="0" fillId="2" borderId="0" xfId="2" applyNumberFormat="1" applyFont="1" applyFill="1"/>
    <xf numFmtId="0" fontId="0" fillId="3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168" fontId="0" fillId="2" borderId="0" xfId="0" applyNumberFormat="1" applyFill="1"/>
    <xf numFmtId="6" fontId="2" fillId="2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6" fontId="2" fillId="0" borderId="0" xfId="0" applyNumberFormat="1" applyFont="1" applyFill="1"/>
    <xf numFmtId="9" fontId="2" fillId="0" borderId="0" xfId="0" applyNumberFormat="1" applyFont="1" applyFill="1"/>
    <xf numFmtId="9" fontId="0" fillId="0" borderId="0" xfId="0" applyNumberFormat="1" applyFill="1"/>
    <xf numFmtId="167" fontId="0" fillId="0" borderId="0" xfId="0" applyNumberFormat="1" applyFill="1"/>
    <xf numFmtId="9" fontId="0" fillId="0" borderId="0" xfId="2" applyNumberFormat="1" applyFont="1" applyFill="1"/>
    <xf numFmtId="0" fontId="0" fillId="0" borderId="0" xfId="0" applyNumberFormat="1" applyFill="1"/>
    <xf numFmtId="10" fontId="2" fillId="0" borderId="0" xfId="0" applyNumberFormat="1" applyFont="1" applyFill="1"/>
    <xf numFmtId="166" fontId="0" fillId="0" borderId="0" xfId="0" applyNumberFormat="1" applyFill="1"/>
    <xf numFmtId="8" fontId="0" fillId="0" borderId="0" xfId="0" applyNumberFormat="1" applyFill="1" applyBorder="1"/>
    <xf numFmtId="8" fontId="0" fillId="0" borderId="1" xfId="0" applyNumberFormat="1" applyFill="1" applyBorder="1"/>
    <xf numFmtId="44" fontId="2" fillId="0" borderId="0" xfId="1" applyFont="1" applyFill="1"/>
    <xf numFmtId="9" fontId="2" fillId="0" borderId="0" xfId="1" applyNumberFormat="1" applyFont="1" applyFill="1"/>
    <xf numFmtId="44" fontId="0" fillId="0" borderId="0" xfId="0" applyNumberFormat="1" applyFill="1"/>
    <xf numFmtId="44" fontId="0" fillId="0" borderId="0" xfId="1" applyFont="1" applyFill="1"/>
    <xf numFmtId="0" fontId="0" fillId="2" borderId="0" xfId="0" applyFill="1" applyAlignment="1">
      <alignment horizontal="center"/>
    </xf>
    <xf numFmtId="44" fontId="2" fillId="2" borderId="0" xfId="1" applyFont="1" applyFill="1"/>
    <xf numFmtId="9" fontId="2" fillId="2" borderId="0" xfId="1" applyNumberFormat="1" applyFont="1" applyFill="1"/>
    <xf numFmtId="44" fontId="0" fillId="2" borderId="0" xfId="0" applyNumberFormat="1" applyFill="1"/>
    <xf numFmtId="44" fontId="0" fillId="2" borderId="0" xfId="1" applyFont="1" applyFill="1"/>
    <xf numFmtId="9" fontId="2" fillId="0" borderId="0" xfId="0" applyNumberFormat="1" applyFont="1"/>
    <xf numFmtId="0" fontId="0" fillId="0" borderId="0" xfId="0" applyFont="1" applyFill="1" applyAlignment="1">
      <alignment horizontal="right"/>
    </xf>
    <xf numFmtId="9" fontId="2" fillId="0" borderId="0" xfId="2" applyFont="1" applyFill="1"/>
    <xf numFmtId="0" fontId="0" fillId="0" borderId="0" xfId="0" applyFill="1" applyBorder="1"/>
    <xf numFmtId="0" fontId="0" fillId="0" borderId="0" xfId="0" applyNumberFormat="1" applyFill="1" applyBorder="1"/>
    <xf numFmtId="2" fontId="0" fillId="0" borderId="0" xfId="0" applyNumberFormat="1" applyFill="1" applyBorder="1"/>
    <xf numFmtId="44" fontId="0" fillId="0" borderId="1" xfId="0" applyNumberFormat="1" applyFill="1" applyBorder="1"/>
    <xf numFmtId="8" fontId="2" fillId="0" borderId="0" xfId="0" applyNumberFormat="1" applyFont="1" applyFill="1"/>
    <xf numFmtId="8" fontId="0" fillId="0" borderId="0" xfId="0" applyNumberFormat="1" applyFill="1"/>
    <xf numFmtId="8" fontId="2" fillId="0" borderId="0" xfId="0" applyNumberFormat="1" applyFont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0" borderId="0" xfId="0" applyBorder="1"/>
    <xf numFmtId="9" fontId="0" fillId="0" borderId="0" xfId="0" applyNumberFormat="1"/>
    <xf numFmtId="0" fontId="0" fillId="0" borderId="0" xfId="0" applyAlignment="1">
      <alignment horizontal="right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2" fontId="0" fillId="5" borderId="0" xfId="0" applyNumberFormat="1" applyFill="1"/>
    <xf numFmtId="0" fontId="2" fillId="5" borderId="2" xfId="0" applyFont="1" applyFill="1" applyBorder="1"/>
    <xf numFmtId="2" fontId="0" fillId="5" borderId="2" xfId="0" applyNumberFormat="1" applyFill="1" applyBorder="1"/>
    <xf numFmtId="2" fontId="2" fillId="5" borderId="0" xfId="0" applyNumberFormat="1" applyFont="1" applyFill="1" applyAlignment="1">
      <alignment horizontal="center"/>
    </xf>
    <xf numFmtId="2" fontId="10" fillId="5" borderId="0" xfId="0" applyNumberFormat="1" applyFont="1" applyFill="1" applyBorder="1"/>
    <xf numFmtId="2" fontId="10" fillId="5" borderId="2" xfId="0" applyNumberFormat="1" applyFont="1" applyFill="1" applyBorder="1"/>
    <xf numFmtId="166" fontId="2" fillId="4" borderId="0" xfId="2" applyNumberFormat="1" applyFont="1" applyFill="1" applyAlignment="1">
      <alignment horizontal="center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2" fontId="0" fillId="0" borderId="0" xfId="0" applyNumberFormat="1"/>
    <xf numFmtId="2" fontId="0" fillId="0" borderId="2" xfId="0" applyNumberFormat="1" applyBorder="1"/>
    <xf numFmtId="2" fontId="0" fillId="0" borderId="1" xfId="0" applyNumberFormat="1" applyBorder="1"/>
    <xf numFmtId="0" fontId="3" fillId="0" borderId="0" xfId="0" applyFont="1"/>
    <xf numFmtId="164" fontId="5" fillId="0" borderId="0" xfId="1" applyNumberFormat="1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sensitivity!$C$4:$I$4</c:f>
              <c:numCache>
                <c:formatCode>0%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</c:numCache>
            </c:numRef>
          </c:xVal>
          <c:yVal>
            <c:numRef>
              <c:f>sensitivity!$C$32:$I$32</c:f>
              <c:numCache>
                <c:formatCode>"$"#,##0.00_);[Red]\("$"#,##0.00\)</c:formatCode>
                <c:ptCount val="7"/>
                <c:pt idx="0">
                  <c:v>5.3502019068648323</c:v>
                </c:pt>
                <c:pt idx="1">
                  <c:v>10.700403813729665</c:v>
                </c:pt>
                <c:pt idx="2">
                  <c:v>16.050605720594501</c:v>
                </c:pt>
                <c:pt idx="3">
                  <c:v>21.400807627459329</c:v>
                </c:pt>
                <c:pt idx="4">
                  <c:v>26.751009534324169</c:v>
                </c:pt>
                <c:pt idx="5">
                  <c:v>32.101211441189001</c:v>
                </c:pt>
                <c:pt idx="6">
                  <c:v>37.451413348053826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C7-4FFC-83B6-6CCD3829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124296"/>
        <c:axId val="491122328"/>
      </c:scatterChart>
      <c:valAx>
        <c:axId val="49112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22328"/>
        <c:crosses val="autoZero"/>
        <c:crossBetween val="midCat"/>
      </c:valAx>
      <c:valAx>
        <c:axId val="49112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24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Semen value for each additional $100 of Net Merit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+1% SCR</c:v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example!$D$4:$I$4</c:f>
              <c:numCache>
                <c:formatCode>0%</c:formatCode>
                <c:ptCount val="6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</c:numCache>
            </c:numRef>
          </c:xVal>
          <c:yVal>
            <c:numRef>
              <c:f>example!$D$39:$I$39</c:f>
              <c:numCache>
                <c:formatCode>_("$"* #,##0_);_("$"* \(#,##0\);_("$"* "-"??_);_(@_)</c:formatCode>
                <c:ptCount val="6"/>
                <c:pt idx="0">
                  <c:v>36.235424004416153</c:v>
                </c:pt>
                <c:pt idx="1">
                  <c:v>27.875948491926131</c:v>
                </c:pt>
                <c:pt idx="2">
                  <c:v>28.338266842536072</c:v>
                </c:pt>
                <c:pt idx="3">
                  <c:v>31.403676783834186</c:v>
                </c:pt>
                <c:pt idx="4">
                  <c:v>35.505084090891877</c:v>
                </c:pt>
                <c:pt idx="5">
                  <c:v>40.099109595078332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C04-440A-AD2C-0AA356F39B5C}"/>
            </c:ext>
          </c:extLst>
        </c:ser>
        <c:ser>
          <c:idx val="0"/>
          <c:order val="1"/>
          <c:tx>
            <c:v>0% SCR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example!$D$4:$I$4</c:f>
              <c:numCache>
                <c:formatCode>0%</c:formatCode>
                <c:ptCount val="6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</c:numCache>
            </c:numRef>
          </c:xVal>
          <c:yVal>
            <c:numRef>
              <c:f>example!$D$38:$I$38</c:f>
              <c:numCache>
                <c:formatCode>_("$"* #,##0_);_("$"* \(#,##0\);_("$"* "-"??_);_(@_)</c:formatCode>
                <c:ptCount val="6"/>
                <c:pt idx="0">
                  <c:v>10.700403813729665</c:v>
                </c:pt>
                <c:pt idx="1">
                  <c:v>16.050605720594501</c:v>
                </c:pt>
                <c:pt idx="2">
                  <c:v>21.400807627459329</c:v>
                </c:pt>
                <c:pt idx="3">
                  <c:v>26.751009534324169</c:v>
                </c:pt>
                <c:pt idx="4">
                  <c:v>32.101211441189001</c:v>
                </c:pt>
                <c:pt idx="5">
                  <c:v>37.451413348053826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C04-440A-AD2C-0AA356F39B5C}"/>
            </c:ext>
          </c:extLst>
        </c:ser>
        <c:ser>
          <c:idx val="1"/>
          <c:order val="2"/>
          <c:tx>
            <c:v>-1% SCR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example!$D$4:$I$4</c:f>
              <c:numCache>
                <c:formatCode>0%</c:formatCode>
                <c:ptCount val="6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</c:numCache>
            </c:numRef>
          </c:xVal>
          <c:yVal>
            <c:numRef>
              <c:f>example!$D$37:$I$37</c:f>
              <c:numCache>
                <c:formatCode>_("$"* #,##0_);_("$"* \(#,##0\);_("$"* "-"??_);_(@_)</c:formatCode>
                <c:ptCount val="6"/>
                <c:pt idx="0">
                  <c:v>-17.466195324325277</c:v>
                </c:pt>
                <c:pt idx="1">
                  <c:v>3.4466200126666244</c:v>
                </c:pt>
                <c:pt idx="2">
                  <c:v>14.135018206003645</c:v>
                </c:pt>
                <c:pt idx="3">
                  <c:v>21.930275057923389</c:v>
                </c:pt>
                <c:pt idx="4">
                  <c:v>28.600089555587246</c:v>
                </c:pt>
                <c:pt idx="5">
                  <c:v>34.742480113889066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C04-440A-AD2C-0AA356F39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124296"/>
        <c:axId val="491122328"/>
      </c:scatterChart>
      <c:valAx>
        <c:axId val="491124296"/>
        <c:scaling>
          <c:orientation val="minMax"/>
          <c:max val="0.70000000000000007"/>
          <c:min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Female conception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22328"/>
        <c:crosses val="autoZero"/>
        <c:crossBetween val="midCat"/>
      </c:valAx>
      <c:valAx>
        <c:axId val="49112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present value per breeding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24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35</xdr:row>
      <xdr:rowOff>95250</xdr:rowOff>
    </xdr:from>
    <xdr:to>
      <xdr:col>9</xdr:col>
      <xdr:colOff>161925</xdr:colOff>
      <xdr:row>49</xdr:row>
      <xdr:rowOff>171450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40</xdr:row>
      <xdr:rowOff>19050</xdr:rowOff>
    </xdr:from>
    <xdr:to>
      <xdr:col>9</xdr:col>
      <xdr:colOff>47625</xdr:colOff>
      <xdr:row>54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vries@ufl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1:B9"/>
  <sheetViews>
    <sheetView tabSelected="1" workbookViewId="0">
      <selection activeCell="B10" sqref="B10"/>
    </sheetView>
  </sheetViews>
  <sheetFormatPr defaultRowHeight="15" x14ac:dyDescent="0.25"/>
  <sheetData>
    <row r="1" spans="2:2" x14ac:dyDescent="0.25">
      <c r="B1" s="96" t="s">
        <v>108</v>
      </c>
    </row>
    <row r="3" spans="2:2" x14ac:dyDescent="0.25">
      <c r="B3" t="s">
        <v>92</v>
      </c>
    </row>
    <row r="4" spans="2:2" x14ac:dyDescent="0.25">
      <c r="B4" t="s">
        <v>93</v>
      </c>
    </row>
    <row r="5" spans="2:2" x14ac:dyDescent="0.25">
      <c r="B5" t="s">
        <v>94</v>
      </c>
    </row>
    <row r="6" spans="2:2" x14ac:dyDescent="0.25">
      <c r="B6" s="16" t="s">
        <v>95</v>
      </c>
    </row>
    <row r="9" spans="2:2" x14ac:dyDescent="0.25">
      <c r="B9" t="s">
        <v>111</v>
      </c>
    </row>
  </sheetData>
  <hyperlinks>
    <hyperlink ref="B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25"/>
  <sheetViews>
    <sheetView workbookViewId="0">
      <selection activeCell="H29" sqref="H29"/>
    </sheetView>
  </sheetViews>
  <sheetFormatPr defaultRowHeight="15" x14ac:dyDescent="0.25"/>
  <cols>
    <col min="6" max="6" width="8.7109375" customWidth="1"/>
  </cols>
  <sheetData>
    <row r="3" spans="4:10" x14ac:dyDescent="0.25">
      <c r="D3" t="s">
        <v>76</v>
      </c>
    </row>
    <row r="4" spans="4:10" x14ac:dyDescent="0.25">
      <c r="D4" t="s">
        <v>77</v>
      </c>
    </row>
    <row r="5" spans="4:10" x14ac:dyDescent="0.25">
      <c r="D5" t="s">
        <v>84</v>
      </c>
    </row>
    <row r="6" spans="4:10" x14ac:dyDescent="0.25">
      <c r="I6" t="s">
        <v>78</v>
      </c>
    </row>
    <row r="7" spans="4:10" x14ac:dyDescent="0.25">
      <c r="D7" s="41"/>
      <c r="E7" s="41"/>
      <c r="F7" s="43" t="s">
        <v>57</v>
      </c>
      <c r="G7" s="43" t="s">
        <v>58</v>
      </c>
      <c r="H7" s="43" t="s">
        <v>59</v>
      </c>
      <c r="I7" s="41" t="s">
        <v>59</v>
      </c>
      <c r="J7" s="43" t="s">
        <v>79</v>
      </c>
    </row>
    <row r="8" spans="4:10" x14ac:dyDescent="0.25">
      <c r="D8" s="41"/>
      <c r="E8" s="65" t="s">
        <v>61</v>
      </c>
      <c r="F8" s="41"/>
      <c r="G8" s="45">
        <v>800</v>
      </c>
      <c r="H8" s="45">
        <v>800</v>
      </c>
      <c r="I8" s="45"/>
      <c r="J8" t="s">
        <v>86</v>
      </c>
    </row>
    <row r="9" spans="4:10" x14ac:dyDescent="0.25">
      <c r="D9" s="41"/>
      <c r="E9" s="43" t="s">
        <v>60</v>
      </c>
      <c r="F9" s="46">
        <v>0.35</v>
      </c>
      <c r="G9" s="41"/>
      <c r="H9" s="41"/>
      <c r="I9" s="41"/>
      <c r="J9" t="s">
        <v>71</v>
      </c>
    </row>
    <row r="10" spans="4:10" x14ac:dyDescent="0.25">
      <c r="D10" s="41"/>
      <c r="E10" s="43" t="s">
        <v>49</v>
      </c>
      <c r="F10" s="41"/>
      <c r="G10" s="46">
        <v>0</v>
      </c>
      <c r="H10" s="46">
        <v>0.03</v>
      </c>
      <c r="I10" s="46"/>
      <c r="J10" t="s">
        <v>80</v>
      </c>
    </row>
    <row r="11" spans="4:10" x14ac:dyDescent="0.25">
      <c r="E11" s="43" t="s">
        <v>67</v>
      </c>
      <c r="F11" s="64">
        <v>0.5</v>
      </c>
      <c r="G11" s="67"/>
      <c r="H11" s="67"/>
      <c r="I11" s="41"/>
      <c r="J11" t="s">
        <v>81</v>
      </c>
    </row>
    <row r="12" spans="4:10" x14ac:dyDescent="0.25">
      <c r="E12" s="43" t="s">
        <v>68</v>
      </c>
      <c r="G12" s="69">
        <f>-((1/($F11*$F9)) - (1/($F11*($F9+G10))) )*21</f>
        <v>0</v>
      </c>
      <c r="H12" s="69">
        <f>-((1/($F11*$F9)) - (1/($F11*($F9+H10))) )*21</f>
        <v>-9.4736842105263115</v>
      </c>
      <c r="I12" s="41"/>
    </row>
    <row r="13" spans="4:10" x14ac:dyDescent="0.25">
      <c r="E13" s="43" t="s">
        <v>66</v>
      </c>
      <c r="F13" s="73">
        <v>2.5</v>
      </c>
      <c r="G13" s="68"/>
      <c r="H13" s="68"/>
      <c r="I13" s="41"/>
      <c r="J13" t="s">
        <v>72</v>
      </c>
    </row>
    <row r="14" spans="4:10" x14ac:dyDescent="0.25">
      <c r="E14" s="43" t="s">
        <v>69</v>
      </c>
      <c r="G14" s="53">
        <f>G12*F13</f>
        <v>0</v>
      </c>
      <c r="H14" s="53">
        <f>-H12*F13</f>
        <v>23.68421052631578</v>
      </c>
      <c r="I14" s="41"/>
    </row>
    <row r="15" spans="4:10" x14ac:dyDescent="0.25">
      <c r="D15" s="41"/>
      <c r="E15" s="43" t="s">
        <v>34</v>
      </c>
      <c r="F15" s="46">
        <v>0.05</v>
      </c>
      <c r="G15" s="67"/>
      <c r="H15" s="67"/>
      <c r="I15" s="41"/>
      <c r="J15" t="s">
        <v>82</v>
      </c>
    </row>
    <row r="16" spans="4:10" x14ac:dyDescent="0.25">
      <c r="D16" s="41"/>
      <c r="E16" s="43" t="s">
        <v>83</v>
      </c>
      <c r="F16" s="46">
        <v>0.05</v>
      </c>
      <c r="G16" s="67"/>
      <c r="H16" s="67"/>
      <c r="I16" s="41"/>
    </row>
    <row r="17" spans="4:10" x14ac:dyDescent="0.25">
      <c r="D17" s="41"/>
      <c r="E17" s="43" t="s">
        <v>20</v>
      </c>
      <c r="F17" s="46">
        <v>0.48</v>
      </c>
      <c r="G17" s="41"/>
      <c r="H17" s="41"/>
      <c r="I17" s="41"/>
      <c r="J17" t="s">
        <v>73</v>
      </c>
    </row>
    <row r="18" spans="4:10" x14ac:dyDescent="0.25">
      <c r="D18" s="41"/>
      <c r="E18" s="65" t="s">
        <v>13</v>
      </c>
      <c r="F18" s="66">
        <v>0.95</v>
      </c>
      <c r="G18" s="41"/>
      <c r="H18" s="41"/>
      <c r="I18" s="41"/>
      <c r="J18" t="s">
        <v>74</v>
      </c>
    </row>
    <row r="19" spans="4:10" x14ac:dyDescent="0.25">
      <c r="D19" s="41"/>
      <c r="E19" s="65" t="s">
        <v>11</v>
      </c>
      <c r="F19" s="42">
        <v>1.3</v>
      </c>
      <c r="G19" s="41"/>
      <c r="H19" s="41"/>
      <c r="I19" s="41"/>
      <c r="J19" t="s">
        <v>85</v>
      </c>
    </row>
    <row r="20" spans="4:10" x14ac:dyDescent="0.25">
      <c r="D20" s="41"/>
      <c r="E20" s="43" t="s">
        <v>62</v>
      </c>
      <c r="F20" s="46">
        <v>1</v>
      </c>
      <c r="G20" s="41"/>
      <c r="H20" s="41"/>
      <c r="J20" t="s">
        <v>75</v>
      </c>
    </row>
    <row r="21" spans="4:10" x14ac:dyDescent="0.25">
      <c r="D21" s="41"/>
      <c r="E21" s="43" t="s">
        <v>63</v>
      </c>
      <c r="F21" s="46">
        <v>0.36</v>
      </c>
      <c r="G21" s="41"/>
      <c r="H21" s="41"/>
    </row>
    <row r="22" spans="4:10" x14ac:dyDescent="0.25">
      <c r="D22" s="41"/>
      <c r="E22" s="41"/>
      <c r="F22" s="41"/>
      <c r="G22" s="58">
        <f>G8*($F9+G10)*(1-$F15)*(1-$F16)*$F17*$F18*$F19*$F20*36%/$F21+G14</f>
        <v>149.80055999999999</v>
      </c>
      <c r="H22" s="58">
        <f>H8*($F9+H10)*(1-$F15)*(1-$F16)*$F17*$F18*$F19*$F20*36%/$F21+H14</f>
        <v>186.32481852631579</v>
      </c>
      <c r="I22" s="58">
        <f>G22-H22</f>
        <v>-36.524258526315805</v>
      </c>
    </row>
    <row r="23" spans="4:10" x14ac:dyDescent="0.25">
      <c r="E23" s="43" t="s">
        <v>64</v>
      </c>
      <c r="F23" s="41"/>
      <c r="G23" s="71">
        <v>20</v>
      </c>
      <c r="H23" s="71">
        <v>10</v>
      </c>
      <c r="I23" s="72">
        <f>G23-H23</f>
        <v>10</v>
      </c>
    </row>
    <row r="24" spans="4:10" x14ac:dyDescent="0.25">
      <c r="D24" s="41"/>
      <c r="E24" s="43" t="s">
        <v>65</v>
      </c>
      <c r="F24" s="41"/>
      <c r="G24" s="41"/>
      <c r="H24" s="41"/>
      <c r="I24" s="70">
        <f>I22-I23</f>
        <v>-46.524258526315805</v>
      </c>
    </row>
    <row r="25" spans="4:10" x14ac:dyDescent="0.25">
      <c r="D25" s="41"/>
      <c r="E25" s="43" t="s">
        <v>70</v>
      </c>
      <c r="F25" s="41"/>
      <c r="G25" s="41"/>
      <c r="H25" s="41"/>
      <c r="I25" t="str">
        <f>IF(I24&lt;0,"sire B is best value","sire A is best value")</f>
        <v>sire B is best value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workbookViewId="0">
      <selection activeCell="R18" sqref="R18"/>
    </sheetView>
  </sheetViews>
  <sheetFormatPr defaultRowHeight="15" x14ac:dyDescent="0.25"/>
  <cols>
    <col min="11" max="11" width="8.7109375" customWidth="1"/>
    <col min="15" max="15" width="9.42578125" customWidth="1"/>
    <col min="19" max="19" width="4.140625" customWidth="1"/>
    <col min="23" max="23" width="9.5703125" customWidth="1"/>
    <col min="24" max="24" width="10.140625" customWidth="1"/>
    <col min="25" max="25" width="8.7109375" customWidth="1"/>
  </cols>
  <sheetData>
    <row r="1" spans="2:15" x14ac:dyDescent="0.25">
      <c r="B1" s="41"/>
      <c r="C1" s="41"/>
      <c r="D1" s="41"/>
      <c r="E1" s="41"/>
      <c r="F1" s="41"/>
      <c r="G1" s="41"/>
      <c r="H1" s="41"/>
      <c r="I1" s="41"/>
      <c r="J1" s="41"/>
      <c r="K1" s="18">
        <v>1</v>
      </c>
      <c r="L1" s="9" t="s">
        <v>56</v>
      </c>
      <c r="M1" s="9"/>
      <c r="N1" s="9"/>
      <c r="O1" s="9"/>
    </row>
    <row r="2" spans="2:15" x14ac:dyDescent="0.25">
      <c r="B2" s="43"/>
      <c r="C2" s="43"/>
      <c r="D2" s="43"/>
      <c r="E2" s="43"/>
      <c r="F2" s="44" t="s">
        <v>110</v>
      </c>
      <c r="G2" s="43"/>
      <c r="H2" s="43"/>
      <c r="I2" s="43"/>
      <c r="J2" s="41"/>
      <c r="K2" s="9"/>
      <c r="M2" s="9"/>
      <c r="N2" s="9"/>
      <c r="O2" s="9"/>
    </row>
    <row r="3" spans="2:15" x14ac:dyDescent="0.25">
      <c r="B3" s="44">
        <v>1</v>
      </c>
      <c r="C3" s="45">
        <v>100</v>
      </c>
      <c r="D3" s="45">
        <v>100</v>
      </c>
      <c r="E3" s="45">
        <v>100</v>
      </c>
      <c r="F3" s="45">
        <v>100</v>
      </c>
      <c r="G3" s="45">
        <v>100</v>
      </c>
      <c r="H3" s="45">
        <v>100</v>
      </c>
      <c r="I3" s="45">
        <v>100</v>
      </c>
      <c r="J3" s="41"/>
      <c r="K3" s="40">
        <v>100</v>
      </c>
      <c r="L3" s="8" t="s">
        <v>53</v>
      </c>
      <c r="M3" s="9"/>
      <c r="N3" s="9"/>
      <c r="O3" s="9"/>
    </row>
    <row r="4" spans="2:15" x14ac:dyDescent="0.25">
      <c r="B4" s="44">
        <v>2</v>
      </c>
      <c r="C4" s="46">
        <v>0.1</v>
      </c>
      <c r="D4" s="46">
        <v>0.2</v>
      </c>
      <c r="E4" s="46">
        <v>0.3</v>
      </c>
      <c r="F4" s="46">
        <v>0.4</v>
      </c>
      <c r="G4" s="46">
        <v>0.5</v>
      </c>
      <c r="H4" s="46">
        <v>0.6</v>
      </c>
      <c r="I4" s="46">
        <v>0.7</v>
      </c>
      <c r="J4" s="41"/>
      <c r="K4" s="17">
        <v>0.35</v>
      </c>
      <c r="L4" s="9" t="s">
        <v>52</v>
      </c>
      <c r="M4" s="9"/>
      <c r="N4" s="9"/>
      <c r="O4" s="9"/>
    </row>
    <row r="5" spans="2:15" x14ac:dyDescent="0.25">
      <c r="B5" s="44">
        <v>3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1"/>
      <c r="K5" s="17">
        <v>0</v>
      </c>
      <c r="L5" s="9" t="s">
        <v>49</v>
      </c>
      <c r="M5" s="9"/>
      <c r="N5" s="9"/>
      <c r="O5" s="39"/>
    </row>
    <row r="6" spans="2:15" x14ac:dyDescent="0.25">
      <c r="B6" s="44">
        <v>4</v>
      </c>
      <c r="C6" s="47">
        <f t="shared" ref="C6:I6" si="0">C4+C5</f>
        <v>0.1</v>
      </c>
      <c r="D6" s="47">
        <f t="shared" si="0"/>
        <v>0.2</v>
      </c>
      <c r="E6" s="47">
        <f t="shared" si="0"/>
        <v>0.3</v>
      </c>
      <c r="F6" s="47">
        <f t="shared" si="0"/>
        <v>0.4</v>
      </c>
      <c r="G6" s="47">
        <f t="shared" si="0"/>
        <v>0.5</v>
      </c>
      <c r="H6" s="47">
        <f t="shared" si="0"/>
        <v>0.6</v>
      </c>
      <c r="I6" s="47">
        <f t="shared" si="0"/>
        <v>0.7</v>
      </c>
      <c r="J6" s="41"/>
      <c r="K6" s="27">
        <f>K4+K5</f>
        <v>0.35</v>
      </c>
      <c r="L6" s="8" t="s">
        <v>46</v>
      </c>
      <c r="M6" s="9"/>
      <c r="N6" s="9"/>
      <c r="O6" s="9"/>
    </row>
    <row r="7" spans="2:15" x14ac:dyDescent="0.25">
      <c r="B7" s="44">
        <v>5</v>
      </c>
      <c r="C7" s="48">
        <f t="shared" ref="C7:I7" si="1">C6</f>
        <v>0.1</v>
      </c>
      <c r="D7" s="48">
        <f t="shared" si="1"/>
        <v>0.2</v>
      </c>
      <c r="E7" s="48">
        <f t="shared" si="1"/>
        <v>0.3</v>
      </c>
      <c r="F7" s="48">
        <f t="shared" si="1"/>
        <v>0.4</v>
      </c>
      <c r="G7" s="48">
        <f t="shared" si="1"/>
        <v>0.5</v>
      </c>
      <c r="H7" s="48">
        <f t="shared" si="1"/>
        <v>0.6</v>
      </c>
      <c r="I7" s="48">
        <f t="shared" si="1"/>
        <v>0.7</v>
      </c>
      <c r="J7" s="41"/>
      <c r="K7" s="19">
        <f>K6</f>
        <v>0.35</v>
      </c>
      <c r="L7" s="9" t="s">
        <v>39</v>
      </c>
      <c r="M7" s="9"/>
      <c r="N7" s="9"/>
      <c r="O7" s="9"/>
    </row>
    <row r="8" spans="2:15" x14ac:dyDescent="0.25">
      <c r="B8" s="44">
        <v>6</v>
      </c>
      <c r="C8" s="46">
        <v>0.05</v>
      </c>
      <c r="D8" s="46">
        <v>0.05</v>
      </c>
      <c r="E8" s="46">
        <v>0.05</v>
      </c>
      <c r="F8" s="46">
        <v>0.05</v>
      </c>
      <c r="G8" s="46">
        <v>0.05</v>
      </c>
      <c r="H8" s="46">
        <v>0.05</v>
      </c>
      <c r="I8" s="46">
        <v>0.05</v>
      </c>
      <c r="J8" s="41"/>
      <c r="K8" s="17">
        <v>0.05</v>
      </c>
      <c r="L8" s="9" t="s">
        <v>34</v>
      </c>
      <c r="M8" s="9"/>
      <c r="N8" s="9"/>
      <c r="O8" s="9"/>
    </row>
    <row r="9" spans="2:15" x14ac:dyDescent="0.25">
      <c r="B9" s="44">
        <v>7</v>
      </c>
      <c r="C9" s="46">
        <v>0.05</v>
      </c>
      <c r="D9" s="46">
        <v>0.05</v>
      </c>
      <c r="E9" s="46">
        <v>0.05</v>
      </c>
      <c r="F9" s="46">
        <v>0.05</v>
      </c>
      <c r="G9" s="46">
        <v>0.05</v>
      </c>
      <c r="H9" s="46">
        <v>0.05</v>
      </c>
      <c r="I9" s="46">
        <v>0.05</v>
      </c>
      <c r="J9" s="41"/>
      <c r="K9" s="17">
        <v>0.05</v>
      </c>
      <c r="L9" s="9" t="s">
        <v>29</v>
      </c>
      <c r="M9" s="9"/>
      <c r="N9" s="9"/>
      <c r="O9" s="9"/>
    </row>
    <row r="10" spans="2:15" x14ac:dyDescent="0.25">
      <c r="B10" s="44">
        <v>8</v>
      </c>
      <c r="C10" s="49">
        <f t="shared" ref="C10:I10" si="2">(1-C8)*(1-C9)</f>
        <v>0.90249999999999997</v>
      </c>
      <c r="D10" s="49">
        <f t="shared" si="2"/>
        <v>0.90249999999999997</v>
      </c>
      <c r="E10" s="49">
        <f t="shared" si="2"/>
        <v>0.90249999999999997</v>
      </c>
      <c r="F10" s="49">
        <f t="shared" si="2"/>
        <v>0.90249999999999997</v>
      </c>
      <c r="G10" s="49">
        <f t="shared" si="2"/>
        <v>0.90249999999999997</v>
      </c>
      <c r="H10" s="49">
        <f t="shared" si="2"/>
        <v>0.90249999999999997</v>
      </c>
      <c r="I10" s="49">
        <f t="shared" si="2"/>
        <v>0.90249999999999997</v>
      </c>
      <c r="J10" s="41"/>
      <c r="K10" s="34">
        <f>(1-K8)*(1-K9)</f>
        <v>0.90249999999999997</v>
      </c>
      <c r="L10" s="8" t="s">
        <v>24</v>
      </c>
      <c r="M10" s="9"/>
      <c r="N10" s="9"/>
      <c r="O10" s="9"/>
    </row>
    <row r="11" spans="2:15" x14ac:dyDescent="0.25">
      <c r="B11" s="44">
        <v>9</v>
      </c>
      <c r="C11" s="48">
        <f t="shared" ref="C11:I11" si="3">C6*(1-C8)*(1-C9)</f>
        <v>9.0249999999999997E-2</v>
      </c>
      <c r="D11" s="48">
        <f t="shared" si="3"/>
        <v>0.18049999999999999</v>
      </c>
      <c r="E11" s="48">
        <f t="shared" si="3"/>
        <v>0.27074999999999999</v>
      </c>
      <c r="F11" s="48">
        <f t="shared" si="3"/>
        <v>0.36099999999999999</v>
      </c>
      <c r="G11" s="48">
        <f t="shared" si="3"/>
        <v>0.45124999999999998</v>
      </c>
      <c r="H11" s="48">
        <f t="shared" si="3"/>
        <v>0.54149999999999998</v>
      </c>
      <c r="I11" s="48">
        <f t="shared" si="3"/>
        <v>0.63174999999999992</v>
      </c>
      <c r="J11" s="41"/>
      <c r="K11" s="19">
        <f>K6*(1-K8)*(1-K9)</f>
        <v>0.31587499999999996</v>
      </c>
      <c r="L11" s="9" t="s">
        <v>22</v>
      </c>
      <c r="M11" s="9"/>
      <c r="N11" s="9"/>
      <c r="O11" s="9"/>
    </row>
    <row r="12" spans="2:15" x14ac:dyDescent="0.25">
      <c r="B12" s="44">
        <v>10</v>
      </c>
      <c r="C12" s="46">
        <v>0.48</v>
      </c>
      <c r="D12" s="46">
        <v>0.48</v>
      </c>
      <c r="E12" s="46">
        <v>0.48</v>
      </c>
      <c r="F12" s="46">
        <v>0.48</v>
      </c>
      <c r="G12" s="46">
        <v>0.48</v>
      </c>
      <c r="H12" s="46">
        <v>0.48</v>
      </c>
      <c r="I12" s="46">
        <v>0.48</v>
      </c>
      <c r="J12" s="41"/>
      <c r="K12" s="17">
        <v>0.48</v>
      </c>
      <c r="L12" s="9" t="s">
        <v>20</v>
      </c>
      <c r="M12" s="9"/>
      <c r="N12" s="9"/>
      <c r="O12" s="9"/>
    </row>
    <row r="13" spans="2:15" x14ac:dyDescent="0.25">
      <c r="B13" s="44">
        <v>11</v>
      </c>
      <c r="C13" s="47">
        <f t="shared" ref="C13:I13" si="4">1-C12</f>
        <v>0.52</v>
      </c>
      <c r="D13" s="47">
        <f t="shared" si="4"/>
        <v>0.52</v>
      </c>
      <c r="E13" s="47">
        <f t="shared" si="4"/>
        <v>0.52</v>
      </c>
      <c r="F13" s="47">
        <f t="shared" si="4"/>
        <v>0.52</v>
      </c>
      <c r="G13" s="47">
        <f t="shared" si="4"/>
        <v>0.52</v>
      </c>
      <c r="H13" s="47">
        <f t="shared" si="4"/>
        <v>0.52</v>
      </c>
      <c r="I13" s="47">
        <f t="shared" si="4"/>
        <v>0.52</v>
      </c>
      <c r="J13" s="41"/>
      <c r="K13" s="27">
        <f>1-K12</f>
        <v>0.52</v>
      </c>
      <c r="L13" s="9" t="s">
        <v>18</v>
      </c>
      <c r="M13" s="9"/>
      <c r="N13" s="9"/>
      <c r="O13" s="9"/>
    </row>
    <row r="14" spans="2:15" x14ac:dyDescent="0.25">
      <c r="B14" s="44">
        <v>12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1"/>
      <c r="K14" s="17">
        <v>0</v>
      </c>
      <c r="L14" s="9" t="s">
        <v>17</v>
      </c>
      <c r="M14" s="9"/>
      <c r="N14" s="9"/>
      <c r="O14" s="9"/>
    </row>
    <row r="15" spans="2:15" x14ac:dyDescent="0.25">
      <c r="B15" s="44">
        <v>13</v>
      </c>
      <c r="C15" s="41">
        <f t="shared" ref="C15:I15" si="5">(1-C14)*C12</f>
        <v>0.48</v>
      </c>
      <c r="D15" s="41">
        <f t="shared" si="5"/>
        <v>0.48</v>
      </c>
      <c r="E15" s="41">
        <f t="shared" si="5"/>
        <v>0.48</v>
      </c>
      <c r="F15" s="41">
        <f t="shared" si="5"/>
        <v>0.48</v>
      </c>
      <c r="G15" s="41">
        <f t="shared" si="5"/>
        <v>0.48</v>
      </c>
      <c r="H15" s="41">
        <f t="shared" si="5"/>
        <v>0.48</v>
      </c>
      <c r="I15" s="41">
        <f t="shared" si="5"/>
        <v>0.48</v>
      </c>
      <c r="J15" s="41"/>
      <c r="K15" s="9">
        <f>(1-K14)*K12</f>
        <v>0.48</v>
      </c>
      <c r="L15" s="8" t="s">
        <v>16</v>
      </c>
      <c r="M15" s="9"/>
      <c r="N15" s="9"/>
      <c r="O15" s="9"/>
    </row>
    <row r="16" spans="2:15" x14ac:dyDescent="0.25">
      <c r="B16" s="44">
        <v>14</v>
      </c>
      <c r="C16" s="50">
        <f t="shared" ref="C16:I16" si="6">(1-C14)*C13</f>
        <v>0.52</v>
      </c>
      <c r="D16" s="50">
        <f t="shared" si="6"/>
        <v>0.52</v>
      </c>
      <c r="E16" s="50">
        <f t="shared" si="6"/>
        <v>0.52</v>
      </c>
      <c r="F16" s="50">
        <f t="shared" si="6"/>
        <v>0.52</v>
      </c>
      <c r="G16" s="50">
        <f t="shared" si="6"/>
        <v>0.52</v>
      </c>
      <c r="H16" s="50">
        <f t="shared" si="6"/>
        <v>0.52</v>
      </c>
      <c r="I16" s="50">
        <f t="shared" si="6"/>
        <v>0.52</v>
      </c>
      <c r="J16" s="41"/>
      <c r="K16" s="22">
        <f>(1-K14)*K13</f>
        <v>0.52</v>
      </c>
      <c r="L16" s="9" t="s">
        <v>15</v>
      </c>
      <c r="M16" s="9"/>
      <c r="N16" s="9"/>
      <c r="O16" s="9"/>
    </row>
    <row r="17" spans="2:18" x14ac:dyDescent="0.25">
      <c r="B17" s="44">
        <v>15</v>
      </c>
      <c r="C17" s="48">
        <f t="shared" ref="C17:I17" si="7">C11*C15</f>
        <v>4.3319999999999997E-2</v>
      </c>
      <c r="D17" s="48">
        <f t="shared" si="7"/>
        <v>8.6639999999999995E-2</v>
      </c>
      <c r="E17" s="48">
        <f t="shared" si="7"/>
        <v>0.12995999999999999</v>
      </c>
      <c r="F17" s="48">
        <f t="shared" si="7"/>
        <v>0.17327999999999999</v>
      </c>
      <c r="G17" s="48">
        <f t="shared" si="7"/>
        <v>0.21659999999999999</v>
      </c>
      <c r="H17" s="48">
        <f t="shared" si="7"/>
        <v>0.25991999999999998</v>
      </c>
      <c r="I17" s="48">
        <f t="shared" si="7"/>
        <v>0.30323999999999995</v>
      </c>
      <c r="J17" s="41"/>
      <c r="K17" s="19">
        <f>K11*K15</f>
        <v>0.15161999999999998</v>
      </c>
      <c r="L17" s="9" t="s">
        <v>14</v>
      </c>
      <c r="M17" s="9"/>
      <c r="N17" s="9"/>
      <c r="O17" s="9"/>
      <c r="Q17" s="21"/>
      <c r="R17" s="20"/>
    </row>
    <row r="18" spans="2:18" x14ac:dyDescent="0.25">
      <c r="B18" s="44">
        <v>16</v>
      </c>
      <c r="C18" s="42">
        <v>0.95</v>
      </c>
      <c r="D18" s="42">
        <v>0.95</v>
      </c>
      <c r="E18" s="42">
        <v>0.95</v>
      </c>
      <c r="F18" s="42">
        <v>0.95</v>
      </c>
      <c r="G18" s="42">
        <v>0.95</v>
      </c>
      <c r="H18" s="42">
        <v>0.95</v>
      </c>
      <c r="I18" s="42">
        <v>0.95</v>
      </c>
      <c r="J18" s="41"/>
      <c r="K18" s="18">
        <v>0.95</v>
      </c>
      <c r="L18" s="8" t="s">
        <v>13</v>
      </c>
      <c r="M18" s="9"/>
      <c r="N18" s="9"/>
      <c r="O18" s="9"/>
    </row>
    <row r="19" spans="2:18" x14ac:dyDescent="0.25">
      <c r="B19" s="44">
        <v>17</v>
      </c>
      <c r="C19" s="48">
        <f t="shared" ref="C19:I19" si="8">C17*C18</f>
        <v>4.1153999999999996E-2</v>
      </c>
      <c r="D19" s="48">
        <f t="shared" si="8"/>
        <v>8.2307999999999992E-2</v>
      </c>
      <c r="E19" s="48">
        <f t="shared" si="8"/>
        <v>0.12346199999999999</v>
      </c>
      <c r="F19" s="48">
        <f t="shared" si="8"/>
        <v>0.16461599999999998</v>
      </c>
      <c r="G19" s="48">
        <f t="shared" si="8"/>
        <v>0.20576999999999998</v>
      </c>
      <c r="H19" s="48">
        <f t="shared" si="8"/>
        <v>0.24692399999999998</v>
      </c>
      <c r="I19" s="48">
        <f t="shared" si="8"/>
        <v>0.28807799999999995</v>
      </c>
      <c r="J19" s="41"/>
      <c r="K19" s="19">
        <f>K17*K18</f>
        <v>0.14403899999999997</v>
      </c>
      <c r="L19" s="9" t="s">
        <v>12</v>
      </c>
      <c r="M19" s="9"/>
      <c r="N19" s="9"/>
      <c r="O19" s="9"/>
    </row>
    <row r="20" spans="2:18" x14ac:dyDescent="0.25">
      <c r="B20" s="44">
        <v>18</v>
      </c>
      <c r="C20" s="42">
        <v>1.3</v>
      </c>
      <c r="D20" s="42">
        <v>1.3</v>
      </c>
      <c r="E20" s="42">
        <v>1.3</v>
      </c>
      <c r="F20" s="42">
        <v>1.3</v>
      </c>
      <c r="G20" s="42">
        <v>1.3</v>
      </c>
      <c r="H20" s="42">
        <v>1.3</v>
      </c>
      <c r="I20" s="42">
        <v>1.3</v>
      </c>
      <c r="J20" s="41"/>
      <c r="K20" s="18">
        <v>1.3</v>
      </c>
      <c r="L20" s="8" t="s">
        <v>11</v>
      </c>
      <c r="M20" s="9"/>
      <c r="N20" s="9"/>
      <c r="O20" s="9"/>
    </row>
    <row r="21" spans="2:18" x14ac:dyDescent="0.25">
      <c r="B21" s="44">
        <v>19</v>
      </c>
      <c r="C21" s="46">
        <v>1</v>
      </c>
      <c r="D21" s="46">
        <v>1</v>
      </c>
      <c r="E21" s="46">
        <v>1</v>
      </c>
      <c r="F21" s="46">
        <v>1</v>
      </c>
      <c r="G21" s="46">
        <v>1</v>
      </c>
      <c r="H21" s="46">
        <v>1</v>
      </c>
      <c r="I21" s="46">
        <v>1</v>
      </c>
      <c r="J21" s="41"/>
      <c r="K21" s="17">
        <v>1</v>
      </c>
      <c r="L21" s="9" t="s">
        <v>62</v>
      </c>
      <c r="M21" s="9"/>
      <c r="N21" s="9"/>
      <c r="O21" s="9"/>
      <c r="R21" s="16"/>
    </row>
    <row r="22" spans="2:18" x14ac:dyDescent="0.25">
      <c r="B22" s="44">
        <v>20</v>
      </c>
      <c r="C22" s="51">
        <v>0.35970000000000002</v>
      </c>
      <c r="D22" s="51">
        <v>0.35970000000000002</v>
      </c>
      <c r="E22" s="51">
        <v>0.35970000000000002</v>
      </c>
      <c r="F22" s="51">
        <v>0.35970000000000002</v>
      </c>
      <c r="G22" s="51">
        <v>0.35970000000000002</v>
      </c>
      <c r="H22" s="51">
        <v>0.35970000000000002</v>
      </c>
      <c r="I22" s="51">
        <v>0.35970000000000002</v>
      </c>
      <c r="J22" s="41"/>
      <c r="K22" s="15">
        <v>0.35970000000000002</v>
      </c>
      <c r="L22" s="9" t="s">
        <v>10</v>
      </c>
      <c r="M22" s="9"/>
      <c r="N22" s="9"/>
      <c r="O22" s="9"/>
      <c r="R22" s="11"/>
    </row>
    <row r="23" spans="2:18" x14ac:dyDescent="0.25">
      <c r="B23" s="44">
        <v>21</v>
      </c>
      <c r="C23" s="52">
        <f t="shared" ref="C23:I23" si="9">$L$23/C22</f>
        <v>1.0000340011560394</v>
      </c>
      <c r="D23" s="52">
        <f t="shared" si="9"/>
        <v>1.0000340011560394</v>
      </c>
      <c r="E23" s="52">
        <f t="shared" si="9"/>
        <v>1.0000340011560394</v>
      </c>
      <c r="F23" s="52">
        <f t="shared" si="9"/>
        <v>1.0000340011560394</v>
      </c>
      <c r="G23" s="52">
        <f t="shared" si="9"/>
        <v>1.0000340011560394</v>
      </c>
      <c r="H23" s="52">
        <f t="shared" si="9"/>
        <v>1.0000340011560394</v>
      </c>
      <c r="I23" s="52">
        <f t="shared" si="9"/>
        <v>1.0000340011560394</v>
      </c>
      <c r="J23" s="41"/>
      <c r="K23" s="14">
        <f>$L$23/K22</f>
        <v>1.0000340011560394</v>
      </c>
      <c r="L23" s="13">
        <f>1/2.78</f>
        <v>0.35971223021582738</v>
      </c>
      <c r="M23" s="12" t="s">
        <v>9</v>
      </c>
      <c r="N23" s="9"/>
      <c r="O23" s="9"/>
      <c r="R23" s="11"/>
    </row>
    <row r="24" spans="2:18" x14ac:dyDescent="0.25">
      <c r="B24" s="44">
        <v>22</v>
      </c>
      <c r="C24" s="53">
        <f t="shared" ref="C24:I24" si="10">C3*C19*C20*C21*C23</f>
        <v>5.3502019068648323</v>
      </c>
      <c r="D24" s="53">
        <f t="shared" si="10"/>
        <v>10.700403813729665</v>
      </c>
      <c r="E24" s="53">
        <f t="shared" si="10"/>
        <v>16.050605720594501</v>
      </c>
      <c r="F24" s="53">
        <f t="shared" si="10"/>
        <v>21.400807627459329</v>
      </c>
      <c r="G24" s="53">
        <f t="shared" si="10"/>
        <v>26.751009534324169</v>
      </c>
      <c r="H24" s="53">
        <f t="shared" si="10"/>
        <v>32.101211441189001</v>
      </c>
      <c r="I24" s="53">
        <f t="shared" si="10"/>
        <v>37.451413348053826</v>
      </c>
      <c r="J24" s="41"/>
      <c r="K24" s="10">
        <f>K3*K19*K20*K21*K23</f>
        <v>18.725706674026913</v>
      </c>
      <c r="L24" s="9" t="s">
        <v>8</v>
      </c>
      <c r="M24" s="9"/>
      <c r="N24" s="9"/>
      <c r="O24" s="9"/>
      <c r="P24" s="3"/>
    </row>
    <row r="25" spans="2:18" x14ac:dyDescent="0.25">
      <c r="B25" s="44">
        <v>23</v>
      </c>
      <c r="C25" s="41"/>
      <c r="D25" s="41"/>
      <c r="E25" s="41"/>
      <c r="F25" s="41"/>
      <c r="G25" s="41"/>
      <c r="H25" s="41"/>
      <c r="I25" s="41"/>
      <c r="J25" s="41"/>
      <c r="K25" s="9"/>
      <c r="L25" s="9"/>
      <c r="M25" s="9"/>
      <c r="N25" s="9"/>
      <c r="O25" s="9"/>
    </row>
    <row r="26" spans="2:18" x14ac:dyDescent="0.25">
      <c r="B26" s="44">
        <v>24</v>
      </c>
      <c r="C26" s="41"/>
      <c r="D26" s="41"/>
      <c r="E26" s="41"/>
      <c r="F26" s="41"/>
      <c r="G26" s="41"/>
      <c r="H26" s="41"/>
      <c r="I26" s="41"/>
      <c r="J26" s="41"/>
      <c r="K26" s="9"/>
      <c r="L26" s="1">
        <f>K3/K24</f>
        <v>5.3402523995904962</v>
      </c>
      <c r="M26" s="8" t="s">
        <v>7</v>
      </c>
    </row>
    <row r="27" spans="2:18" x14ac:dyDescent="0.25">
      <c r="B27" s="44">
        <v>25</v>
      </c>
      <c r="C27" s="41"/>
      <c r="D27" s="41"/>
      <c r="E27" s="41"/>
      <c r="F27" s="41"/>
      <c r="G27" s="41"/>
      <c r="H27" s="41"/>
      <c r="I27" s="41"/>
      <c r="J27" s="41"/>
      <c r="K27" s="59"/>
      <c r="L27" s="4"/>
      <c r="R27" s="2"/>
    </row>
    <row r="28" spans="2:18" x14ac:dyDescent="0.25">
      <c r="B28" s="44">
        <v>26</v>
      </c>
      <c r="C28" s="55">
        <v>2</v>
      </c>
      <c r="D28" s="55">
        <v>2</v>
      </c>
      <c r="E28" s="55">
        <v>2</v>
      </c>
      <c r="F28" s="55">
        <v>2</v>
      </c>
      <c r="G28" s="55">
        <v>2</v>
      </c>
      <c r="H28" s="55">
        <v>2</v>
      </c>
      <c r="I28" s="55">
        <v>2</v>
      </c>
      <c r="J28" s="41"/>
      <c r="K28" s="60">
        <v>2</v>
      </c>
      <c r="L28" t="s">
        <v>6</v>
      </c>
      <c r="R28" s="7"/>
    </row>
    <row r="29" spans="2:18" x14ac:dyDescent="0.25">
      <c r="B29" s="44">
        <v>27</v>
      </c>
      <c r="C29" s="56">
        <v>0.5</v>
      </c>
      <c r="D29" s="56">
        <v>0.5</v>
      </c>
      <c r="E29" s="56">
        <v>0.5</v>
      </c>
      <c r="F29" s="56">
        <v>0.5</v>
      </c>
      <c r="G29" s="56">
        <v>0.5</v>
      </c>
      <c r="H29" s="56">
        <v>0.5</v>
      </c>
      <c r="I29" s="56">
        <v>0.5</v>
      </c>
      <c r="J29" s="41"/>
      <c r="K29" s="61">
        <v>0.5</v>
      </c>
      <c r="L29" t="s">
        <v>5</v>
      </c>
      <c r="R29" s="7"/>
    </row>
    <row r="30" spans="2:18" x14ac:dyDescent="0.25">
      <c r="B30" s="44">
        <v>28</v>
      </c>
      <c r="C30" s="50">
        <f t="shared" ref="C30:I30" si="11">-((1/(C29*C4)) - (1/(C29*(C4+C5))) )*21</f>
        <v>0</v>
      </c>
      <c r="D30" s="50">
        <f t="shared" si="11"/>
        <v>0</v>
      </c>
      <c r="E30" s="50">
        <f t="shared" si="11"/>
        <v>0</v>
      </c>
      <c r="F30" s="50">
        <f t="shared" si="11"/>
        <v>0</v>
      </c>
      <c r="G30" s="50">
        <f t="shared" si="11"/>
        <v>0</v>
      </c>
      <c r="H30" s="50">
        <f t="shared" si="11"/>
        <v>0</v>
      </c>
      <c r="I30" s="50">
        <f t="shared" si="11"/>
        <v>0</v>
      </c>
      <c r="J30" s="50"/>
      <c r="K30" s="22">
        <f>-((1/(K29*K4)) - (1/(K29*(K4+K5))) )*21</f>
        <v>0</v>
      </c>
      <c r="L30" t="s">
        <v>4</v>
      </c>
      <c r="R30" s="7"/>
    </row>
    <row r="31" spans="2:18" x14ac:dyDescent="0.25">
      <c r="B31" s="44">
        <v>29</v>
      </c>
      <c r="C31" s="57">
        <f t="shared" ref="C31:I31" si="12">C28*C30</f>
        <v>0</v>
      </c>
      <c r="D31" s="57">
        <f t="shared" si="12"/>
        <v>0</v>
      </c>
      <c r="E31" s="57">
        <f t="shared" si="12"/>
        <v>0</v>
      </c>
      <c r="F31" s="57">
        <f t="shared" si="12"/>
        <v>0</v>
      </c>
      <c r="G31" s="57">
        <f t="shared" si="12"/>
        <v>0</v>
      </c>
      <c r="H31" s="57">
        <f t="shared" si="12"/>
        <v>0</v>
      </c>
      <c r="I31" s="57">
        <f t="shared" si="12"/>
        <v>0</v>
      </c>
      <c r="J31" s="57"/>
      <c r="K31" s="62">
        <f>K28*K30</f>
        <v>0</v>
      </c>
      <c r="L31" t="s">
        <v>3</v>
      </c>
    </row>
    <row r="32" spans="2:18" x14ac:dyDescent="0.25">
      <c r="B32" s="44">
        <v>30</v>
      </c>
      <c r="C32" s="54">
        <f t="shared" ref="C32:I32" si="13">C24-C31</f>
        <v>5.3502019068648323</v>
      </c>
      <c r="D32" s="54">
        <f t="shared" si="13"/>
        <v>10.700403813729665</v>
      </c>
      <c r="E32" s="54">
        <f t="shared" si="13"/>
        <v>16.050605720594501</v>
      </c>
      <c r="F32" s="54">
        <f t="shared" si="13"/>
        <v>21.400807627459329</v>
      </c>
      <c r="G32" s="54">
        <f t="shared" si="13"/>
        <v>26.751009534324169</v>
      </c>
      <c r="H32" s="54">
        <f t="shared" si="13"/>
        <v>32.101211441189001</v>
      </c>
      <c r="I32" s="54">
        <f t="shared" si="13"/>
        <v>37.451413348053826</v>
      </c>
      <c r="J32" s="41"/>
      <c r="K32" s="10">
        <f>K24-K31</f>
        <v>18.725706674026913</v>
      </c>
      <c r="L32" t="s">
        <v>2</v>
      </c>
    </row>
    <row r="33" spans="2:18" x14ac:dyDescent="0.25">
      <c r="B33" s="44">
        <v>31</v>
      </c>
      <c r="C33" s="58">
        <f t="shared" ref="C33:I33" si="14">C32*(1-$L$33)</f>
        <v>4.5476716208351071</v>
      </c>
      <c r="D33" s="58">
        <f t="shared" si="14"/>
        <v>9.0953432416702142</v>
      </c>
      <c r="E33" s="58">
        <f t="shared" si="14"/>
        <v>13.643014862505325</v>
      </c>
      <c r="F33" s="58">
        <f t="shared" si="14"/>
        <v>18.190686483340428</v>
      </c>
      <c r="G33" s="58">
        <f t="shared" si="14"/>
        <v>22.738358104175543</v>
      </c>
      <c r="H33" s="58">
        <f t="shared" si="14"/>
        <v>27.28602972501065</v>
      </c>
      <c r="I33" s="58">
        <f t="shared" si="14"/>
        <v>31.83370134584575</v>
      </c>
      <c r="J33" s="41"/>
      <c r="K33" s="63">
        <f>K32*(1-$L$33)</f>
        <v>15.916850672922875</v>
      </c>
      <c r="L33" s="5">
        <v>0.15</v>
      </c>
      <c r="M33" t="s">
        <v>1</v>
      </c>
      <c r="R33" s="6"/>
    </row>
    <row r="34" spans="2:18" x14ac:dyDescent="0.25">
      <c r="B34" s="44">
        <v>32</v>
      </c>
      <c r="C34" s="58">
        <f t="shared" ref="C34:I34" si="15">C32*(1-$L$34)</f>
        <v>4.9489367638499697</v>
      </c>
      <c r="D34" s="58">
        <f t="shared" si="15"/>
        <v>9.8978735276999394</v>
      </c>
      <c r="E34" s="58">
        <f t="shared" si="15"/>
        <v>14.846810291549914</v>
      </c>
      <c r="F34" s="58">
        <f t="shared" si="15"/>
        <v>19.795747055399879</v>
      </c>
      <c r="G34" s="58">
        <f t="shared" si="15"/>
        <v>24.744683819249857</v>
      </c>
      <c r="H34" s="58">
        <f t="shared" si="15"/>
        <v>29.693620583099829</v>
      </c>
      <c r="I34" s="58">
        <f t="shared" si="15"/>
        <v>34.642557346949793</v>
      </c>
      <c r="J34" s="41"/>
      <c r="K34" s="63">
        <f>K32*(1-$L$34)</f>
        <v>17.321278673474897</v>
      </c>
      <c r="L34" s="5">
        <v>7.4999999999999997E-2</v>
      </c>
      <c r="M34" t="s">
        <v>0</v>
      </c>
    </row>
    <row r="35" spans="2:18" x14ac:dyDescent="0.25">
      <c r="B35" s="44"/>
      <c r="C35" s="41"/>
      <c r="D35" s="41"/>
      <c r="E35" s="41"/>
      <c r="F35" s="41"/>
      <c r="G35" s="41"/>
      <c r="H35" s="41"/>
      <c r="I35" s="41"/>
      <c r="J35" s="41"/>
    </row>
    <row r="36" spans="2:18" x14ac:dyDescent="0.25">
      <c r="B36" s="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Q33"/>
  <sheetViews>
    <sheetView workbookViewId="0">
      <selection activeCell="Q28" sqref="Q28"/>
    </sheetView>
  </sheetViews>
  <sheetFormatPr defaultRowHeight="15" x14ac:dyDescent="0.25"/>
  <cols>
    <col min="10" max="10" width="11.85546875" customWidth="1"/>
    <col min="11" max="11" width="10.5703125" customWidth="1"/>
    <col min="12" max="12" width="11" customWidth="1"/>
    <col min="13" max="13" width="12.140625" customWidth="1"/>
    <col min="14" max="15" width="10.140625" customWidth="1"/>
  </cols>
  <sheetData>
    <row r="1" spans="6:17" x14ac:dyDescent="0.25">
      <c r="F1" t="s">
        <v>55</v>
      </c>
    </row>
    <row r="2" spans="6:17" x14ac:dyDescent="0.25">
      <c r="N2" t="s">
        <v>54</v>
      </c>
    </row>
    <row r="4" spans="6:17" x14ac:dyDescent="0.25">
      <c r="F4" s="9"/>
      <c r="G4" s="9"/>
      <c r="H4" s="9"/>
      <c r="I4" s="79" t="s">
        <v>51</v>
      </c>
      <c r="J4" s="79"/>
      <c r="K4" s="79"/>
      <c r="L4" s="79"/>
      <c r="M4" s="24" t="s">
        <v>50</v>
      </c>
      <c r="N4" s="24"/>
      <c r="O4" s="23"/>
      <c r="P4" s="9"/>
    </row>
    <row r="5" spans="6:17" x14ac:dyDescent="0.25">
      <c r="F5" s="9"/>
      <c r="G5" s="9"/>
      <c r="H5" s="9"/>
      <c r="I5" s="79"/>
      <c r="J5" s="79"/>
      <c r="K5" s="79"/>
      <c r="L5" s="79"/>
      <c r="M5" s="24"/>
      <c r="N5" s="37" t="s">
        <v>48</v>
      </c>
      <c r="O5" s="38" t="s">
        <v>47</v>
      </c>
      <c r="P5" s="9"/>
    </row>
    <row r="6" spans="6:17" x14ac:dyDescent="0.25">
      <c r="F6" s="9"/>
      <c r="G6" s="9"/>
      <c r="H6" s="9"/>
      <c r="I6" s="80" t="s">
        <v>45</v>
      </c>
      <c r="J6" s="80" t="s">
        <v>44</v>
      </c>
      <c r="K6" s="80" t="s">
        <v>43</v>
      </c>
      <c r="L6" s="80" t="s">
        <v>42</v>
      </c>
      <c r="M6" s="37" t="s">
        <v>41</v>
      </c>
      <c r="N6" s="37" t="s">
        <v>40</v>
      </c>
      <c r="O6" s="38"/>
      <c r="P6" s="9"/>
    </row>
    <row r="7" spans="6:17" x14ac:dyDescent="0.25">
      <c r="F7" s="9"/>
      <c r="G7" s="9"/>
      <c r="H7" s="9"/>
      <c r="I7" s="80" t="s">
        <v>38</v>
      </c>
      <c r="J7" s="86">
        <f>1/0.85</f>
        <v>1.1764705882352942</v>
      </c>
      <c r="K7" s="81">
        <v>0.85</v>
      </c>
      <c r="L7" s="79" t="s">
        <v>35</v>
      </c>
      <c r="M7" s="37" t="s">
        <v>37</v>
      </c>
      <c r="N7" s="37" t="s">
        <v>36</v>
      </c>
      <c r="O7" s="38" t="s">
        <v>35</v>
      </c>
      <c r="P7" s="9"/>
    </row>
    <row r="8" spans="6:17" x14ac:dyDescent="0.25">
      <c r="F8" s="9"/>
      <c r="G8" s="9"/>
      <c r="H8" s="9"/>
      <c r="I8" s="80" t="s">
        <v>31</v>
      </c>
      <c r="J8" s="80" t="s">
        <v>33</v>
      </c>
      <c r="K8" s="80" t="s">
        <v>32</v>
      </c>
      <c r="L8" s="80" t="s">
        <v>31</v>
      </c>
      <c r="M8" s="37" t="s">
        <v>31</v>
      </c>
      <c r="N8" s="89">
        <v>3.5000000000000003E-2</v>
      </c>
      <c r="O8" s="38" t="s">
        <v>30</v>
      </c>
      <c r="P8" s="9"/>
    </row>
    <row r="9" spans="6:17" x14ac:dyDescent="0.25">
      <c r="F9" s="9"/>
      <c r="G9" s="9"/>
      <c r="H9" s="31" t="s">
        <v>28</v>
      </c>
      <c r="I9" s="80" t="s">
        <v>26</v>
      </c>
      <c r="J9" s="80" t="s">
        <v>96</v>
      </c>
      <c r="K9" s="80" t="s">
        <v>27</v>
      </c>
      <c r="L9" s="80" t="s">
        <v>26</v>
      </c>
      <c r="M9" s="37" t="s">
        <v>26</v>
      </c>
      <c r="N9" s="36" t="s">
        <v>25</v>
      </c>
      <c r="O9" s="35"/>
      <c r="P9" s="9"/>
    </row>
    <row r="10" spans="6:17" x14ac:dyDescent="0.25">
      <c r="F10" s="9"/>
      <c r="G10" s="31" t="s">
        <v>23</v>
      </c>
      <c r="H10" s="9">
        <v>1</v>
      </c>
      <c r="I10" s="82">
        <v>1</v>
      </c>
      <c r="J10" s="82">
        <v>1</v>
      </c>
      <c r="K10" s="83">
        <f>K$7^H10</f>
        <v>0.85</v>
      </c>
      <c r="L10" s="83">
        <f>I10*J10*K10</f>
        <v>0.85</v>
      </c>
      <c r="M10" s="33">
        <f>1+2+1.5</f>
        <v>4.5</v>
      </c>
      <c r="N10" s="26">
        <f>1/(1+$N$8)^M10</f>
        <v>0.85658097818572543</v>
      </c>
      <c r="O10" s="32">
        <f>L10*N10</f>
        <v>0.72809383145786655</v>
      </c>
      <c r="P10" s="9"/>
    </row>
    <row r="11" spans="6:17" x14ac:dyDescent="0.25">
      <c r="F11" s="9"/>
      <c r="G11" s="31" t="s">
        <v>21</v>
      </c>
      <c r="H11" s="9">
        <v>2</v>
      </c>
      <c r="I11" s="82">
        <f>I10/2</f>
        <v>0.5</v>
      </c>
      <c r="J11" s="87">
        <f>J$7^H10</f>
        <v>1.1764705882352942</v>
      </c>
      <c r="K11" s="83">
        <f>K$7^H11</f>
        <v>0.72249999999999992</v>
      </c>
      <c r="L11" s="83">
        <f t="shared" ref="L11:L15" si="0">I11*J11*K11</f>
        <v>0.42499999999999999</v>
      </c>
      <c r="M11" s="33">
        <f>M10+2+1.5</f>
        <v>8</v>
      </c>
      <c r="N11" s="26">
        <f>1/(1+$N$8)^M11</f>
        <v>0.75941155621625056</v>
      </c>
      <c r="O11" s="32">
        <f t="shared" ref="O11:O15" si="1">L11*N11</f>
        <v>0.32274991139190645</v>
      </c>
      <c r="P11" s="9"/>
    </row>
    <row r="12" spans="6:17" x14ac:dyDescent="0.25">
      <c r="F12" s="9"/>
      <c r="G12" s="75" t="s">
        <v>19</v>
      </c>
      <c r="H12" s="74">
        <v>3</v>
      </c>
      <c r="I12" s="82">
        <f t="shared" ref="I12:I15" si="2">I11/2</f>
        <v>0.25</v>
      </c>
      <c r="J12" s="87">
        <f t="shared" ref="J12:J15" si="3">J$7^H11</f>
        <v>1.3840830449826991</v>
      </c>
      <c r="K12" s="83">
        <f t="shared" ref="K12:K15" si="4">K$7^H12</f>
        <v>0.61412499999999992</v>
      </c>
      <c r="L12" s="83">
        <f t="shared" si="0"/>
        <v>0.21249999999999999</v>
      </c>
      <c r="M12" s="33">
        <f t="shared" ref="M12:M15" si="5">M11+2+1.5</f>
        <v>11.5</v>
      </c>
      <c r="N12" s="26">
        <f t="shared" ref="N12:N15" si="6">1/(1+$N$8)^M12</f>
        <v>0.67326490594768384</v>
      </c>
      <c r="O12" s="32">
        <f t="shared" si="1"/>
        <v>0.14306879251388283</v>
      </c>
      <c r="P12" s="74"/>
      <c r="Q12" s="76"/>
    </row>
    <row r="13" spans="6:17" x14ac:dyDescent="0.25">
      <c r="F13" s="9"/>
      <c r="G13" s="75" t="s">
        <v>87</v>
      </c>
      <c r="H13" s="74">
        <v>4</v>
      </c>
      <c r="I13" s="82">
        <f t="shared" si="2"/>
        <v>0.125</v>
      </c>
      <c r="J13" s="87">
        <f t="shared" si="3"/>
        <v>1.628332994097293</v>
      </c>
      <c r="K13" s="83">
        <f t="shared" si="4"/>
        <v>0.52200624999999989</v>
      </c>
      <c r="L13" s="83">
        <f t="shared" si="0"/>
        <v>0.10624999999999998</v>
      </c>
      <c r="M13" s="33">
        <f t="shared" si="5"/>
        <v>15</v>
      </c>
      <c r="N13" s="26">
        <f t="shared" si="6"/>
        <v>0.59689061862480497</v>
      </c>
      <c r="O13" s="32">
        <f t="shared" si="1"/>
        <v>6.3419628228885513E-2</v>
      </c>
      <c r="P13" s="74"/>
      <c r="Q13" s="76"/>
    </row>
    <row r="14" spans="6:17" x14ac:dyDescent="0.25">
      <c r="G14" s="75" t="s">
        <v>91</v>
      </c>
      <c r="H14" s="74">
        <v>5</v>
      </c>
      <c r="I14" s="82">
        <f t="shared" si="2"/>
        <v>6.25E-2</v>
      </c>
      <c r="J14" s="87">
        <f t="shared" si="3"/>
        <v>1.9156858754085802</v>
      </c>
      <c r="K14" s="83">
        <f t="shared" si="4"/>
        <v>0.44370531249999989</v>
      </c>
      <c r="L14" s="83">
        <f t="shared" si="0"/>
        <v>5.3124999999999992E-2</v>
      </c>
      <c r="M14" s="33">
        <f t="shared" si="5"/>
        <v>18.5</v>
      </c>
      <c r="N14" s="26">
        <f t="shared" si="6"/>
        <v>0.52918013022052124</v>
      </c>
      <c r="O14" s="32">
        <f t="shared" si="1"/>
        <v>2.8112694417965187E-2</v>
      </c>
    </row>
    <row r="15" spans="6:17" x14ac:dyDescent="0.25">
      <c r="F15" s="9"/>
      <c r="G15" s="75" t="s">
        <v>90</v>
      </c>
      <c r="H15" s="30">
        <v>6</v>
      </c>
      <c r="I15" s="84">
        <f t="shared" si="2"/>
        <v>3.125E-2</v>
      </c>
      <c r="J15" s="88">
        <f t="shared" si="3"/>
        <v>2.2537480887159766</v>
      </c>
      <c r="K15" s="85">
        <f t="shared" si="4"/>
        <v>0.37714951562499988</v>
      </c>
      <c r="L15" s="85">
        <f t="shared" si="0"/>
        <v>2.6562499999999996E-2</v>
      </c>
      <c r="M15" s="29">
        <f t="shared" si="5"/>
        <v>22</v>
      </c>
      <c r="N15" s="28">
        <f t="shared" si="6"/>
        <v>0.46915063075606966</v>
      </c>
      <c r="O15" s="32">
        <f t="shared" si="1"/>
        <v>1.2461813629458099E-2</v>
      </c>
      <c r="P15" s="9"/>
    </row>
    <row r="16" spans="6:17" x14ac:dyDescent="0.25">
      <c r="F16" s="9"/>
      <c r="G16" s="78" t="s">
        <v>88</v>
      </c>
      <c r="H16" s="9"/>
      <c r="I16" s="79">
        <f>SUM(I10:I15)</f>
        <v>1.96875</v>
      </c>
      <c r="J16" s="79">
        <f t="shared" ref="J16" si="7">SUM(J10:J15)</f>
        <v>9.358320591439842</v>
      </c>
      <c r="K16" s="79"/>
      <c r="L16" s="79"/>
      <c r="M16" s="24"/>
      <c r="N16" s="26"/>
      <c r="O16" s="25">
        <f>SUM(O10:O15)</f>
        <v>1.2979066716399645</v>
      </c>
      <c r="P16" s="9" t="s">
        <v>89</v>
      </c>
    </row>
    <row r="17" spans="9:13" x14ac:dyDescent="0.25">
      <c r="M17" s="77"/>
    </row>
    <row r="20" spans="9:13" x14ac:dyDescent="0.25">
      <c r="I20" t="s">
        <v>109</v>
      </c>
    </row>
    <row r="22" spans="9:13" x14ac:dyDescent="0.25">
      <c r="I22" s="90">
        <v>0.05</v>
      </c>
      <c r="J22" t="s">
        <v>98</v>
      </c>
    </row>
    <row r="23" spans="9:13" x14ac:dyDescent="0.25">
      <c r="I23">
        <f>1+26/12+5/12</f>
        <v>3.583333333333333</v>
      </c>
      <c r="J23" t="s">
        <v>99</v>
      </c>
      <c r="K23" s="90">
        <v>1</v>
      </c>
      <c r="L23" s="93">
        <f>K23*(1+$I$22)^-I23</f>
        <v>0.83959854701344916</v>
      </c>
    </row>
    <row r="24" spans="9:13" x14ac:dyDescent="0.25">
      <c r="I24">
        <f>I23+13/12</f>
        <v>4.6666666666666661</v>
      </c>
      <c r="J24" t="s">
        <v>100</v>
      </c>
      <c r="K24" s="90">
        <v>1</v>
      </c>
      <c r="L24" s="93">
        <f t="shared" ref="L24:L31" si="8">K24*(1+$I$22)^-I24</f>
        <v>0.79637314106765</v>
      </c>
    </row>
    <row r="25" spans="9:13" x14ac:dyDescent="0.25">
      <c r="I25">
        <f t="shared" ref="I25:I31" si="9">I24+13/12</f>
        <v>5.7499999999999991</v>
      </c>
      <c r="J25" t="s">
        <v>101</v>
      </c>
      <c r="K25" s="90">
        <v>1</v>
      </c>
      <c r="L25" s="93">
        <f t="shared" si="8"/>
        <v>0.75537312691871061</v>
      </c>
    </row>
    <row r="26" spans="9:13" x14ac:dyDescent="0.25">
      <c r="I26">
        <f t="shared" si="9"/>
        <v>6.8333333333333321</v>
      </c>
      <c r="J26" t="s">
        <v>102</v>
      </c>
      <c r="K26" s="90">
        <v>0.5</v>
      </c>
      <c r="L26" s="93">
        <f t="shared" si="8"/>
        <v>0.35824196689129706</v>
      </c>
    </row>
    <row r="27" spans="9:13" x14ac:dyDescent="0.25">
      <c r="I27">
        <f t="shared" si="9"/>
        <v>7.9166666666666652</v>
      </c>
      <c r="J27" t="s">
        <v>103</v>
      </c>
      <c r="K27" s="90">
        <v>0.5</v>
      </c>
      <c r="L27" s="93">
        <f t="shared" si="8"/>
        <v>0.33979844468561871</v>
      </c>
    </row>
    <row r="28" spans="9:13" x14ac:dyDescent="0.25">
      <c r="I28">
        <f>I27+13/12</f>
        <v>8.9999999999999982</v>
      </c>
      <c r="J28" t="s">
        <v>104</v>
      </c>
      <c r="K28" s="90">
        <v>0.5</v>
      </c>
      <c r="L28" s="93">
        <f t="shared" si="8"/>
        <v>0.32230445810889857</v>
      </c>
    </row>
    <row r="29" spans="9:13" x14ac:dyDescent="0.25">
      <c r="I29">
        <f t="shared" si="9"/>
        <v>10.083333333333332</v>
      </c>
      <c r="J29" t="s">
        <v>105</v>
      </c>
      <c r="K29" s="90">
        <v>0.25</v>
      </c>
      <c r="L29" s="93">
        <f t="shared" si="8"/>
        <v>0.15285556090902741</v>
      </c>
    </row>
    <row r="30" spans="9:13" x14ac:dyDescent="0.25">
      <c r="I30">
        <f t="shared" si="9"/>
        <v>11.166666666666666</v>
      </c>
      <c r="J30" t="s">
        <v>106</v>
      </c>
      <c r="K30" s="90">
        <v>0.25</v>
      </c>
      <c r="L30" s="93">
        <f t="shared" si="8"/>
        <v>0.14498603362736609</v>
      </c>
    </row>
    <row r="31" spans="9:13" x14ac:dyDescent="0.25">
      <c r="I31" s="91">
        <f t="shared" si="9"/>
        <v>12.25</v>
      </c>
      <c r="J31" s="91" t="s">
        <v>107</v>
      </c>
      <c r="K31" s="92">
        <v>0.25</v>
      </c>
      <c r="L31" s="94">
        <f t="shared" si="8"/>
        <v>0.13752165653630644</v>
      </c>
    </row>
    <row r="32" spans="9:13" x14ac:dyDescent="0.25">
      <c r="L32" s="93">
        <f>SUM(L23:L31)</f>
        <v>3.8470529357583247</v>
      </c>
      <c r="M32" t="s">
        <v>97</v>
      </c>
    </row>
    <row r="33" spans="12:13" x14ac:dyDescent="0.25">
      <c r="L33" s="95">
        <f>L32/3</f>
        <v>1.2823509785861082</v>
      </c>
      <c r="M33" s="9" t="s">
        <v>89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"/>
  <sheetViews>
    <sheetView workbookViewId="0">
      <selection activeCell="K58" sqref="K58"/>
    </sheetView>
  </sheetViews>
  <sheetFormatPr defaultRowHeight="15" x14ac:dyDescent="0.25"/>
  <cols>
    <col min="3" max="3" width="9.7109375" bestFit="1" customWidth="1"/>
    <col min="4" max="9" width="9.28515625" bestFit="1" customWidth="1"/>
    <col min="11" max="11" width="8.7109375" customWidth="1"/>
    <col min="15" max="15" width="9.42578125" customWidth="1"/>
    <col min="19" max="19" width="4.140625" customWidth="1"/>
    <col min="23" max="23" width="9.5703125" customWidth="1"/>
    <col min="24" max="24" width="10.140625" customWidth="1"/>
    <col min="25" max="25" width="8.7109375" customWidth="1"/>
  </cols>
  <sheetData>
    <row r="1" spans="2:15" x14ac:dyDescent="0.25">
      <c r="B1" s="41"/>
      <c r="C1" s="41"/>
      <c r="D1" s="41"/>
      <c r="E1" s="41"/>
      <c r="F1" s="41"/>
      <c r="G1" s="41"/>
      <c r="H1" s="41"/>
      <c r="I1" s="41"/>
      <c r="J1" s="41"/>
      <c r="K1" s="18">
        <v>1</v>
      </c>
      <c r="L1" s="9" t="s">
        <v>56</v>
      </c>
      <c r="M1" s="9"/>
      <c r="N1" s="9"/>
      <c r="O1" s="9"/>
    </row>
    <row r="2" spans="2:15" x14ac:dyDescent="0.25">
      <c r="B2" s="43"/>
      <c r="C2" s="43"/>
      <c r="D2" s="43"/>
      <c r="E2" s="43"/>
      <c r="F2" s="44" t="s">
        <v>110</v>
      </c>
      <c r="G2" s="43"/>
      <c r="H2" s="43"/>
      <c r="I2" s="43"/>
      <c r="J2" s="41"/>
      <c r="K2" s="9"/>
      <c r="M2" s="9"/>
      <c r="N2" s="9"/>
      <c r="O2" s="9"/>
    </row>
    <row r="3" spans="2:15" x14ac:dyDescent="0.25">
      <c r="B3" s="44">
        <v>1</v>
      </c>
      <c r="C3" s="45">
        <v>100</v>
      </c>
      <c r="D3" s="45">
        <v>100</v>
      </c>
      <c r="E3" s="45">
        <v>100</v>
      </c>
      <c r="F3" s="45">
        <v>100</v>
      </c>
      <c r="G3" s="45">
        <v>100</v>
      </c>
      <c r="H3" s="45">
        <v>100</v>
      </c>
      <c r="I3" s="45">
        <v>100</v>
      </c>
      <c r="J3" s="41"/>
      <c r="K3" s="40">
        <v>100</v>
      </c>
      <c r="L3" s="8" t="s">
        <v>53</v>
      </c>
      <c r="M3" s="9"/>
      <c r="N3" s="9"/>
      <c r="O3" s="9"/>
    </row>
    <row r="4" spans="2:15" x14ac:dyDescent="0.25">
      <c r="B4" s="44">
        <v>2</v>
      </c>
      <c r="C4" s="46">
        <v>0.1</v>
      </c>
      <c r="D4" s="46">
        <v>0.2</v>
      </c>
      <c r="E4" s="46">
        <v>0.3</v>
      </c>
      <c r="F4" s="46">
        <v>0.4</v>
      </c>
      <c r="G4" s="46">
        <v>0.5</v>
      </c>
      <c r="H4" s="46">
        <v>0.6</v>
      </c>
      <c r="I4" s="46">
        <v>0.7</v>
      </c>
      <c r="J4" s="41"/>
      <c r="K4" s="17">
        <v>0.35</v>
      </c>
      <c r="L4" s="9" t="s">
        <v>52</v>
      </c>
      <c r="M4" s="9"/>
      <c r="N4" s="9"/>
      <c r="O4" s="9"/>
    </row>
    <row r="5" spans="2:15" x14ac:dyDescent="0.25">
      <c r="B5" s="44">
        <v>3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1"/>
      <c r="K5" s="17">
        <v>0</v>
      </c>
      <c r="L5" s="9" t="s">
        <v>49</v>
      </c>
      <c r="M5" s="9"/>
      <c r="N5" s="9"/>
      <c r="O5" s="39"/>
    </row>
    <row r="6" spans="2:15" x14ac:dyDescent="0.25">
      <c r="B6" s="44">
        <v>4</v>
      </c>
      <c r="C6" s="47">
        <f t="shared" ref="C6:I6" si="0">C4+C5</f>
        <v>0.1</v>
      </c>
      <c r="D6" s="47">
        <f t="shared" si="0"/>
        <v>0.2</v>
      </c>
      <c r="E6" s="47">
        <f t="shared" si="0"/>
        <v>0.3</v>
      </c>
      <c r="F6" s="47">
        <f t="shared" si="0"/>
        <v>0.4</v>
      </c>
      <c r="G6" s="47">
        <f t="shared" si="0"/>
        <v>0.5</v>
      </c>
      <c r="H6" s="47">
        <f t="shared" si="0"/>
        <v>0.6</v>
      </c>
      <c r="I6" s="47">
        <f t="shared" si="0"/>
        <v>0.7</v>
      </c>
      <c r="J6" s="41"/>
      <c r="K6" s="27">
        <f>K4+K5</f>
        <v>0.35</v>
      </c>
      <c r="L6" s="8" t="s">
        <v>46</v>
      </c>
      <c r="M6" s="9"/>
      <c r="N6" s="9"/>
      <c r="O6" s="9"/>
    </row>
    <row r="7" spans="2:15" x14ac:dyDescent="0.25">
      <c r="B7" s="44">
        <v>5</v>
      </c>
      <c r="C7" s="48">
        <f t="shared" ref="C7:I7" si="1">C6</f>
        <v>0.1</v>
      </c>
      <c r="D7" s="48">
        <f t="shared" si="1"/>
        <v>0.2</v>
      </c>
      <c r="E7" s="48">
        <f t="shared" si="1"/>
        <v>0.3</v>
      </c>
      <c r="F7" s="48">
        <f t="shared" si="1"/>
        <v>0.4</v>
      </c>
      <c r="G7" s="48">
        <f t="shared" si="1"/>
        <v>0.5</v>
      </c>
      <c r="H7" s="48">
        <f t="shared" si="1"/>
        <v>0.6</v>
      </c>
      <c r="I7" s="48">
        <f t="shared" si="1"/>
        <v>0.7</v>
      </c>
      <c r="J7" s="41"/>
      <c r="K7" s="19">
        <f>K6</f>
        <v>0.35</v>
      </c>
      <c r="L7" s="9" t="s">
        <v>39</v>
      </c>
      <c r="M7" s="9"/>
      <c r="N7" s="9"/>
      <c r="O7" s="9"/>
    </row>
    <row r="8" spans="2:15" x14ac:dyDescent="0.25">
      <c r="B8" s="44">
        <v>6</v>
      </c>
      <c r="C8" s="46">
        <v>0.05</v>
      </c>
      <c r="D8" s="46">
        <v>0.05</v>
      </c>
      <c r="E8" s="46">
        <v>0.05</v>
      </c>
      <c r="F8" s="46">
        <v>0.05</v>
      </c>
      <c r="G8" s="46">
        <v>0.05</v>
      </c>
      <c r="H8" s="46">
        <v>0.05</v>
      </c>
      <c r="I8" s="46">
        <v>0.05</v>
      </c>
      <c r="J8" s="41"/>
      <c r="K8" s="17">
        <v>0.05</v>
      </c>
      <c r="L8" s="9" t="s">
        <v>34</v>
      </c>
      <c r="M8" s="9"/>
      <c r="N8" s="9"/>
      <c r="O8" s="9"/>
    </row>
    <row r="9" spans="2:15" x14ac:dyDescent="0.25">
      <c r="B9" s="44">
        <v>7</v>
      </c>
      <c r="C9" s="46">
        <v>0.05</v>
      </c>
      <c r="D9" s="46">
        <v>0.05</v>
      </c>
      <c r="E9" s="46">
        <v>0.05</v>
      </c>
      <c r="F9" s="46">
        <v>0.05</v>
      </c>
      <c r="G9" s="46">
        <v>0.05</v>
      </c>
      <c r="H9" s="46">
        <v>0.05</v>
      </c>
      <c r="I9" s="46">
        <v>0.05</v>
      </c>
      <c r="J9" s="41"/>
      <c r="K9" s="17">
        <v>0.05</v>
      </c>
      <c r="L9" s="9" t="s">
        <v>29</v>
      </c>
      <c r="M9" s="9"/>
      <c r="N9" s="9"/>
      <c r="O9" s="9"/>
    </row>
    <row r="10" spans="2:15" x14ac:dyDescent="0.25">
      <c r="B10" s="44">
        <v>8</v>
      </c>
      <c r="C10" s="49">
        <f t="shared" ref="C10:I10" si="2">(1-C8)*(1-C9)</f>
        <v>0.90249999999999997</v>
      </c>
      <c r="D10" s="49">
        <f t="shared" si="2"/>
        <v>0.90249999999999997</v>
      </c>
      <c r="E10" s="49">
        <f t="shared" si="2"/>
        <v>0.90249999999999997</v>
      </c>
      <c r="F10" s="49">
        <f t="shared" si="2"/>
        <v>0.90249999999999997</v>
      </c>
      <c r="G10" s="49">
        <f t="shared" si="2"/>
        <v>0.90249999999999997</v>
      </c>
      <c r="H10" s="49">
        <f t="shared" si="2"/>
        <v>0.90249999999999997</v>
      </c>
      <c r="I10" s="49">
        <f t="shared" si="2"/>
        <v>0.90249999999999997</v>
      </c>
      <c r="J10" s="41"/>
      <c r="K10" s="34">
        <f>(1-K8)*(1-K9)</f>
        <v>0.90249999999999997</v>
      </c>
      <c r="L10" s="8" t="s">
        <v>24</v>
      </c>
      <c r="M10" s="9"/>
      <c r="N10" s="9"/>
      <c r="O10" s="9"/>
    </row>
    <row r="11" spans="2:15" x14ac:dyDescent="0.25">
      <c r="B11" s="44">
        <v>9</v>
      </c>
      <c r="C11" s="48">
        <f t="shared" ref="C11:I11" si="3">C6*(1-C8)*(1-C9)</f>
        <v>9.0249999999999997E-2</v>
      </c>
      <c r="D11" s="48">
        <f t="shared" si="3"/>
        <v>0.18049999999999999</v>
      </c>
      <c r="E11" s="48">
        <f t="shared" si="3"/>
        <v>0.27074999999999999</v>
      </c>
      <c r="F11" s="48">
        <f t="shared" si="3"/>
        <v>0.36099999999999999</v>
      </c>
      <c r="G11" s="48">
        <f t="shared" si="3"/>
        <v>0.45124999999999998</v>
      </c>
      <c r="H11" s="48">
        <f t="shared" si="3"/>
        <v>0.54149999999999998</v>
      </c>
      <c r="I11" s="48">
        <f t="shared" si="3"/>
        <v>0.63174999999999992</v>
      </c>
      <c r="J11" s="41"/>
      <c r="K11" s="19">
        <f>K6*(1-K8)*(1-K9)</f>
        <v>0.31587499999999996</v>
      </c>
      <c r="L11" s="9" t="s">
        <v>22</v>
      </c>
      <c r="M11" s="9"/>
      <c r="N11" s="9"/>
      <c r="O11" s="9"/>
    </row>
    <row r="12" spans="2:15" x14ac:dyDescent="0.25">
      <c r="B12" s="44">
        <v>10</v>
      </c>
      <c r="C12" s="46">
        <v>0.48</v>
      </c>
      <c r="D12" s="46">
        <v>0.48</v>
      </c>
      <c r="E12" s="46">
        <v>0.48</v>
      </c>
      <c r="F12" s="46">
        <v>0.48</v>
      </c>
      <c r="G12" s="46">
        <v>0.48</v>
      </c>
      <c r="H12" s="46">
        <v>0.48</v>
      </c>
      <c r="I12" s="46">
        <v>0.48</v>
      </c>
      <c r="J12" s="41"/>
      <c r="K12" s="17">
        <v>0.48</v>
      </c>
      <c r="L12" s="9" t="s">
        <v>20</v>
      </c>
      <c r="M12" s="9"/>
      <c r="N12" s="9"/>
      <c r="O12" s="9"/>
    </row>
    <row r="13" spans="2:15" x14ac:dyDescent="0.25">
      <c r="B13" s="44">
        <v>11</v>
      </c>
      <c r="C13" s="47">
        <f t="shared" ref="C13:I13" si="4">1-C12</f>
        <v>0.52</v>
      </c>
      <c r="D13" s="47">
        <f t="shared" si="4"/>
        <v>0.52</v>
      </c>
      <c r="E13" s="47">
        <f t="shared" si="4"/>
        <v>0.52</v>
      </c>
      <c r="F13" s="47">
        <f t="shared" si="4"/>
        <v>0.52</v>
      </c>
      <c r="G13" s="47">
        <f t="shared" si="4"/>
        <v>0.52</v>
      </c>
      <c r="H13" s="47">
        <f t="shared" si="4"/>
        <v>0.52</v>
      </c>
      <c r="I13" s="47">
        <f t="shared" si="4"/>
        <v>0.52</v>
      </c>
      <c r="J13" s="41"/>
      <c r="K13" s="27">
        <f>1-K12</f>
        <v>0.52</v>
      </c>
      <c r="L13" s="9" t="s">
        <v>18</v>
      </c>
      <c r="M13" s="9"/>
      <c r="N13" s="9"/>
      <c r="O13" s="9"/>
    </row>
    <row r="14" spans="2:15" x14ac:dyDescent="0.25">
      <c r="B14" s="44">
        <v>12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1"/>
      <c r="K14" s="17">
        <v>0</v>
      </c>
      <c r="L14" s="9" t="s">
        <v>17</v>
      </c>
      <c r="M14" s="9"/>
      <c r="N14" s="9"/>
      <c r="O14" s="9"/>
    </row>
    <row r="15" spans="2:15" x14ac:dyDescent="0.25">
      <c r="B15" s="44">
        <v>13</v>
      </c>
      <c r="C15" s="41">
        <f t="shared" ref="C15:I15" si="5">(1-C14)*C12</f>
        <v>0.48</v>
      </c>
      <c r="D15" s="41">
        <f t="shared" si="5"/>
        <v>0.48</v>
      </c>
      <c r="E15" s="41">
        <f t="shared" si="5"/>
        <v>0.48</v>
      </c>
      <c r="F15" s="41">
        <f t="shared" si="5"/>
        <v>0.48</v>
      </c>
      <c r="G15" s="41">
        <f t="shared" si="5"/>
        <v>0.48</v>
      </c>
      <c r="H15" s="41">
        <f t="shared" si="5"/>
        <v>0.48</v>
      </c>
      <c r="I15" s="41">
        <f t="shared" si="5"/>
        <v>0.48</v>
      </c>
      <c r="J15" s="41"/>
      <c r="K15" s="9">
        <f>(1-K14)*K12</f>
        <v>0.48</v>
      </c>
      <c r="L15" s="8" t="s">
        <v>16</v>
      </c>
      <c r="M15" s="9"/>
      <c r="N15" s="9"/>
      <c r="O15" s="9"/>
    </row>
    <row r="16" spans="2:15" x14ac:dyDescent="0.25">
      <c r="B16" s="44">
        <v>14</v>
      </c>
      <c r="C16" s="50">
        <f t="shared" ref="C16:I16" si="6">(1-C14)*C13</f>
        <v>0.52</v>
      </c>
      <c r="D16" s="50">
        <f t="shared" si="6"/>
        <v>0.52</v>
      </c>
      <c r="E16" s="50">
        <f t="shared" si="6"/>
        <v>0.52</v>
      </c>
      <c r="F16" s="50">
        <f t="shared" si="6"/>
        <v>0.52</v>
      </c>
      <c r="G16" s="50">
        <f t="shared" si="6"/>
        <v>0.52</v>
      </c>
      <c r="H16" s="50">
        <f t="shared" si="6"/>
        <v>0.52</v>
      </c>
      <c r="I16" s="50">
        <f t="shared" si="6"/>
        <v>0.52</v>
      </c>
      <c r="J16" s="41"/>
      <c r="K16" s="22">
        <f>(1-K14)*K13</f>
        <v>0.52</v>
      </c>
      <c r="L16" s="9" t="s">
        <v>15</v>
      </c>
      <c r="M16" s="9"/>
      <c r="N16" s="9"/>
      <c r="O16" s="9"/>
    </row>
    <row r="17" spans="2:18" x14ac:dyDescent="0.25">
      <c r="B17" s="44">
        <v>15</v>
      </c>
      <c r="C17" s="48">
        <f t="shared" ref="C17:I17" si="7">C11*C15</f>
        <v>4.3319999999999997E-2</v>
      </c>
      <c r="D17" s="48">
        <f t="shared" si="7"/>
        <v>8.6639999999999995E-2</v>
      </c>
      <c r="E17" s="48">
        <f t="shared" si="7"/>
        <v>0.12995999999999999</v>
      </c>
      <c r="F17" s="48">
        <f t="shared" si="7"/>
        <v>0.17327999999999999</v>
      </c>
      <c r="G17" s="48">
        <f t="shared" si="7"/>
        <v>0.21659999999999999</v>
      </c>
      <c r="H17" s="48">
        <f t="shared" si="7"/>
        <v>0.25991999999999998</v>
      </c>
      <c r="I17" s="48">
        <f t="shared" si="7"/>
        <v>0.30323999999999995</v>
      </c>
      <c r="J17" s="41"/>
      <c r="K17" s="19">
        <f>K11*K15</f>
        <v>0.15161999999999998</v>
      </c>
      <c r="L17" s="9" t="s">
        <v>14</v>
      </c>
      <c r="M17" s="9"/>
      <c r="N17" s="9"/>
      <c r="O17" s="9"/>
      <c r="Q17" s="21"/>
      <c r="R17" s="20"/>
    </row>
    <row r="18" spans="2:18" x14ac:dyDescent="0.25">
      <c r="B18" s="44">
        <v>16</v>
      </c>
      <c r="C18" s="42">
        <v>0.95</v>
      </c>
      <c r="D18" s="42">
        <v>0.95</v>
      </c>
      <c r="E18" s="42">
        <v>0.95</v>
      </c>
      <c r="F18" s="42">
        <v>0.95</v>
      </c>
      <c r="G18" s="42">
        <v>0.95</v>
      </c>
      <c r="H18" s="42">
        <v>0.95</v>
      </c>
      <c r="I18" s="42">
        <v>0.95</v>
      </c>
      <c r="J18" s="41"/>
      <c r="K18" s="18">
        <v>0.95</v>
      </c>
      <c r="L18" s="8" t="s">
        <v>13</v>
      </c>
      <c r="M18" s="9"/>
      <c r="N18" s="9"/>
      <c r="O18" s="9"/>
    </row>
    <row r="19" spans="2:18" x14ac:dyDescent="0.25">
      <c r="B19" s="44">
        <v>17</v>
      </c>
      <c r="C19" s="48">
        <f t="shared" ref="C19:I19" si="8">C17*C18</f>
        <v>4.1153999999999996E-2</v>
      </c>
      <c r="D19" s="48">
        <f t="shared" si="8"/>
        <v>8.2307999999999992E-2</v>
      </c>
      <c r="E19" s="48">
        <f t="shared" si="8"/>
        <v>0.12346199999999999</v>
      </c>
      <c r="F19" s="48">
        <f t="shared" si="8"/>
        <v>0.16461599999999998</v>
      </c>
      <c r="G19" s="48">
        <f t="shared" si="8"/>
        <v>0.20576999999999998</v>
      </c>
      <c r="H19" s="48">
        <f t="shared" si="8"/>
        <v>0.24692399999999998</v>
      </c>
      <c r="I19" s="48">
        <f t="shared" si="8"/>
        <v>0.28807799999999995</v>
      </c>
      <c r="J19" s="41"/>
      <c r="K19" s="19">
        <f>K17*K18</f>
        <v>0.14403899999999997</v>
      </c>
      <c r="L19" s="9" t="s">
        <v>12</v>
      </c>
      <c r="M19" s="9"/>
      <c r="N19" s="9"/>
      <c r="O19" s="9"/>
    </row>
    <row r="20" spans="2:18" x14ac:dyDescent="0.25">
      <c r="B20" s="44">
        <v>18</v>
      </c>
      <c r="C20" s="42">
        <v>1.3</v>
      </c>
      <c r="D20" s="42">
        <v>1.3</v>
      </c>
      <c r="E20" s="42">
        <v>1.3</v>
      </c>
      <c r="F20" s="42">
        <v>1.3</v>
      </c>
      <c r="G20" s="42">
        <v>1.3</v>
      </c>
      <c r="H20" s="42">
        <v>1.3</v>
      </c>
      <c r="I20" s="42">
        <v>1.3</v>
      </c>
      <c r="J20" s="41"/>
      <c r="K20" s="18">
        <v>1.3</v>
      </c>
      <c r="L20" s="8" t="s">
        <v>11</v>
      </c>
      <c r="M20" s="9"/>
      <c r="N20" s="9"/>
      <c r="O20" s="9"/>
    </row>
    <row r="21" spans="2:18" x14ac:dyDescent="0.25">
      <c r="B21" s="44">
        <v>19</v>
      </c>
      <c r="C21" s="46">
        <v>1</v>
      </c>
      <c r="D21" s="46">
        <v>1</v>
      </c>
      <c r="E21" s="46">
        <v>1</v>
      </c>
      <c r="F21" s="46">
        <v>1</v>
      </c>
      <c r="G21" s="46">
        <v>1</v>
      </c>
      <c r="H21" s="46">
        <v>1</v>
      </c>
      <c r="I21" s="46">
        <v>1</v>
      </c>
      <c r="J21" s="41"/>
      <c r="K21" s="17">
        <v>1</v>
      </c>
      <c r="L21" s="9" t="s">
        <v>62</v>
      </c>
      <c r="M21" s="9"/>
      <c r="N21" s="9"/>
      <c r="O21" s="9"/>
      <c r="R21" s="16"/>
    </row>
    <row r="22" spans="2:18" x14ac:dyDescent="0.25">
      <c r="B22" s="44">
        <v>20</v>
      </c>
      <c r="C22" s="51">
        <v>0.35970000000000002</v>
      </c>
      <c r="D22" s="51">
        <v>0.35970000000000002</v>
      </c>
      <c r="E22" s="51">
        <v>0.35970000000000002</v>
      </c>
      <c r="F22" s="51">
        <v>0.35970000000000002</v>
      </c>
      <c r="G22" s="51">
        <v>0.35970000000000002</v>
      </c>
      <c r="H22" s="51">
        <v>0.35970000000000002</v>
      </c>
      <c r="I22" s="51">
        <v>0.35970000000000002</v>
      </c>
      <c r="J22" s="41"/>
      <c r="K22" s="15">
        <v>0.35970000000000002</v>
      </c>
      <c r="L22" s="9" t="s">
        <v>10</v>
      </c>
      <c r="M22" s="9"/>
      <c r="N22" s="9"/>
      <c r="O22" s="9"/>
      <c r="R22" s="11"/>
    </row>
    <row r="23" spans="2:18" x14ac:dyDescent="0.25">
      <c r="B23" s="44">
        <v>21</v>
      </c>
      <c r="C23" s="52">
        <f t="shared" ref="C23:I23" si="9">$L$23/C22</f>
        <v>1.0000340011560394</v>
      </c>
      <c r="D23" s="52">
        <f t="shared" si="9"/>
        <v>1.0000340011560394</v>
      </c>
      <c r="E23" s="52">
        <f t="shared" si="9"/>
        <v>1.0000340011560394</v>
      </c>
      <c r="F23" s="52">
        <f t="shared" si="9"/>
        <v>1.0000340011560394</v>
      </c>
      <c r="G23" s="52">
        <f t="shared" si="9"/>
        <v>1.0000340011560394</v>
      </c>
      <c r="H23" s="52">
        <f t="shared" si="9"/>
        <v>1.0000340011560394</v>
      </c>
      <c r="I23" s="52">
        <f t="shared" si="9"/>
        <v>1.0000340011560394</v>
      </c>
      <c r="J23" s="41"/>
      <c r="K23" s="14">
        <f>$L$23/K22</f>
        <v>1.0000340011560394</v>
      </c>
      <c r="L23" s="13">
        <f>1/2.78</f>
        <v>0.35971223021582738</v>
      </c>
      <c r="M23" s="12" t="s">
        <v>9</v>
      </c>
      <c r="N23" s="9"/>
      <c r="O23" s="9"/>
      <c r="R23" s="11"/>
    </row>
    <row r="24" spans="2:18" x14ac:dyDescent="0.25">
      <c r="B24" s="44">
        <v>22</v>
      </c>
      <c r="C24" s="53">
        <f t="shared" ref="C24:I24" si="10">C3*C19*C20*C21*C23</f>
        <v>5.3502019068648323</v>
      </c>
      <c r="D24" s="53">
        <f t="shared" si="10"/>
        <v>10.700403813729665</v>
      </c>
      <c r="E24" s="53">
        <f t="shared" si="10"/>
        <v>16.050605720594501</v>
      </c>
      <c r="F24" s="53">
        <f t="shared" si="10"/>
        <v>21.400807627459329</v>
      </c>
      <c r="G24" s="53">
        <f t="shared" si="10"/>
        <v>26.751009534324169</v>
      </c>
      <c r="H24" s="53">
        <f t="shared" si="10"/>
        <v>32.101211441189001</v>
      </c>
      <c r="I24" s="53">
        <f t="shared" si="10"/>
        <v>37.451413348053826</v>
      </c>
      <c r="J24" s="41"/>
      <c r="K24" s="10">
        <f>K3*K19*K20*K21*K23</f>
        <v>18.725706674026913</v>
      </c>
      <c r="L24" s="9" t="s">
        <v>8</v>
      </c>
      <c r="M24" s="9"/>
      <c r="N24" s="9"/>
      <c r="O24" s="9"/>
      <c r="P24" s="3"/>
    </row>
    <row r="25" spans="2:18" x14ac:dyDescent="0.25">
      <c r="B25" s="44">
        <v>23</v>
      </c>
      <c r="C25" s="41"/>
      <c r="D25" s="41"/>
      <c r="E25" s="41"/>
      <c r="F25" s="41"/>
      <c r="G25" s="41"/>
      <c r="H25" s="41"/>
      <c r="I25" s="41"/>
      <c r="J25" s="41"/>
      <c r="K25" s="9"/>
      <c r="L25" s="9"/>
      <c r="M25" s="9"/>
      <c r="N25" s="9"/>
      <c r="O25" s="9"/>
    </row>
    <row r="26" spans="2:18" x14ac:dyDescent="0.25">
      <c r="B26" s="44">
        <v>24</v>
      </c>
      <c r="C26" s="41"/>
      <c r="D26" s="41"/>
      <c r="E26" s="41"/>
      <c r="F26" s="41"/>
      <c r="G26" s="41"/>
      <c r="H26" s="41"/>
      <c r="I26" s="41"/>
      <c r="J26" s="41"/>
      <c r="K26" s="9"/>
      <c r="L26" s="1">
        <f>K3/K24</f>
        <v>5.3402523995904962</v>
      </c>
      <c r="M26" s="8" t="s">
        <v>7</v>
      </c>
    </row>
    <row r="27" spans="2:18" x14ac:dyDescent="0.25">
      <c r="B27" s="44">
        <v>25</v>
      </c>
      <c r="C27" s="41"/>
      <c r="D27" s="41"/>
      <c r="E27" s="41"/>
      <c r="F27" s="41"/>
      <c r="G27" s="41"/>
      <c r="H27" s="41"/>
      <c r="I27" s="41"/>
      <c r="J27" s="41"/>
      <c r="K27" s="59"/>
      <c r="L27" s="4"/>
      <c r="R27" s="2"/>
    </row>
    <row r="28" spans="2:18" x14ac:dyDescent="0.25">
      <c r="B28" s="44">
        <v>26</v>
      </c>
      <c r="C28" s="55">
        <v>2.5</v>
      </c>
      <c r="D28" s="55">
        <v>2.5</v>
      </c>
      <c r="E28" s="55">
        <v>2.5</v>
      </c>
      <c r="F28" s="55">
        <v>2.5</v>
      </c>
      <c r="G28" s="55">
        <v>2.5</v>
      </c>
      <c r="H28" s="55">
        <v>2.5</v>
      </c>
      <c r="I28" s="55">
        <v>2.5</v>
      </c>
      <c r="J28" s="41"/>
      <c r="K28" s="60">
        <v>2</v>
      </c>
      <c r="L28" t="s">
        <v>6</v>
      </c>
      <c r="R28" s="7"/>
    </row>
    <row r="29" spans="2:18" x14ac:dyDescent="0.25">
      <c r="B29" s="44">
        <v>27</v>
      </c>
      <c r="C29" s="56">
        <v>0.5</v>
      </c>
      <c r="D29" s="56">
        <v>0.5</v>
      </c>
      <c r="E29" s="56">
        <v>0.5</v>
      </c>
      <c r="F29" s="56">
        <v>0.5</v>
      </c>
      <c r="G29" s="56">
        <v>0.5</v>
      </c>
      <c r="H29" s="56">
        <v>0.5</v>
      </c>
      <c r="I29" s="56">
        <v>0.5</v>
      </c>
      <c r="J29" s="41"/>
      <c r="K29" s="61">
        <v>0.5</v>
      </c>
      <c r="L29" t="s">
        <v>5</v>
      </c>
      <c r="R29" s="7"/>
    </row>
    <row r="30" spans="2:18" x14ac:dyDescent="0.25">
      <c r="B30" s="44">
        <v>28</v>
      </c>
      <c r="C30" s="50">
        <f t="shared" ref="C30:I30" si="11">-((1/(C29*C4)) - (1/(C29*(C4+C5))) )*21</f>
        <v>0</v>
      </c>
      <c r="D30" s="50">
        <f t="shared" si="11"/>
        <v>0</v>
      </c>
      <c r="E30" s="50">
        <f t="shared" si="11"/>
        <v>0</v>
      </c>
      <c r="F30" s="50">
        <f t="shared" si="11"/>
        <v>0</v>
      </c>
      <c r="G30" s="50">
        <f t="shared" si="11"/>
        <v>0</v>
      </c>
      <c r="H30" s="50">
        <f t="shared" si="11"/>
        <v>0</v>
      </c>
      <c r="I30" s="50">
        <f t="shared" si="11"/>
        <v>0</v>
      </c>
      <c r="J30" s="50"/>
      <c r="K30" s="22">
        <f>-((1/(K29*K4)) - (1/(K29*(K4+K5))) )*21</f>
        <v>0</v>
      </c>
      <c r="L30" t="s">
        <v>4</v>
      </c>
      <c r="R30" s="7"/>
    </row>
    <row r="31" spans="2:18" x14ac:dyDescent="0.25">
      <c r="B31" s="44">
        <v>29</v>
      </c>
      <c r="C31" s="57">
        <f t="shared" ref="C31:I31" si="12">C28*C30</f>
        <v>0</v>
      </c>
      <c r="D31" s="57">
        <f t="shared" si="12"/>
        <v>0</v>
      </c>
      <c r="E31" s="57">
        <f t="shared" si="12"/>
        <v>0</v>
      </c>
      <c r="F31" s="57">
        <f t="shared" si="12"/>
        <v>0</v>
      </c>
      <c r="G31" s="57">
        <f t="shared" si="12"/>
        <v>0</v>
      </c>
      <c r="H31" s="57">
        <f t="shared" si="12"/>
        <v>0</v>
      </c>
      <c r="I31" s="57">
        <f t="shared" si="12"/>
        <v>0</v>
      </c>
      <c r="J31" s="57"/>
      <c r="K31" s="62">
        <f>K28*K30</f>
        <v>0</v>
      </c>
      <c r="L31" t="s">
        <v>3</v>
      </c>
    </row>
    <row r="32" spans="2:18" x14ac:dyDescent="0.25">
      <c r="B32" s="44">
        <v>30</v>
      </c>
      <c r="C32" s="54">
        <f t="shared" ref="C32:I32" si="13">C24-C31</f>
        <v>5.3502019068648323</v>
      </c>
      <c r="D32" s="54">
        <f t="shared" si="13"/>
        <v>10.700403813729665</v>
      </c>
      <c r="E32" s="54">
        <f t="shared" si="13"/>
        <v>16.050605720594501</v>
      </c>
      <c r="F32" s="54">
        <f t="shared" si="13"/>
        <v>21.400807627459329</v>
      </c>
      <c r="G32" s="54">
        <f t="shared" si="13"/>
        <v>26.751009534324169</v>
      </c>
      <c r="H32" s="54">
        <f t="shared" si="13"/>
        <v>32.101211441189001</v>
      </c>
      <c r="I32" s="54">
        <f t="shared" si="13"/>
        <v>37.451413348053826</v>
      </c>
      <c r="J32" s="41"/>
      <c r="K32" s="10">
        <f>K24-K31</f>
        <v>18.725706674026913</v>
      </c>
      <c r="L32" t="s">
        <v>2</v>
      </c>
    </row>
    <row r="35" spans="2:10" x14ac:dyDescent="0.25">
      <c r="B35" s="44"/>
      <c r="C35" s="41"/>
      <c r="D35" s="41"/>
      <c r="E35" s="41"/>
      <c r="F35" s="41"/>
      <c r="G35" s="41"/>
      <c r="H35" s="41"/>
      <c r="I35" s="41"/>
      <c r="J35" s="41"/>
    </row>
    <row r="36" spans="2:10" x14ac:dyDescent="0.25">
      <c r="B36" s="4"/>
    </row>
    <row r="37" spans="2:10" x14ac:dyDescent="0.25">
      <c r="C37" s="97">
        <v>-111.85148495048809</v>
      </c>
      <c r="D37" s="97">
        <v>-17.466195324325277</v>
      </c>
      <c r="E37" s="97">
        <v>3.4466200126666244</v>
      </c>
      <c r="F37" s="97">
        <v>14.135018206003645</v>
      </c>
      <c r="G37" s="97">
        <v>21.930275057923389</v>
      </c>
      <c r="H37" s="97">
        <v>28.600089555587246</v>
      </c>
      <c r="I37" s="97">
        <v>34.742480113889066</v>
      </c>
    </row>
    <row r="38" spans="2:10" x14ac:dyDescent="0.25">
      <c r="C38" s="97">
        <v>5.3502019068648323</v>
      </c>
      <c r="D38" s="97">
        <v>10.700403813729665</v>
      </c>
      <c r="E38" s="97">
        <v>16.050605720594501</v>
      </c>
      <c r="F38" s="97">
        <v>21.400807627459329</v>
      </c>
      <c r="G38" s="97">
        <v>26.751009534324169</v>
      </c>
      <c r="H38" s="97">
        <v>32.101211441189001</v>
      </c>
      <c r="I38" s="97">
        <v>37.451413348053826</v>
      </c>
    </row>
    <row r="39" spans="2:10" x14ac:dyDescent="0.25">
      <c r="C39" s="97">
        <v>101.33976755209667</v>
      </c>
      <c r="D39" s="97">
        <v>36.235424004416153</v>
      </c>
      <c r="E39" s="97">
        <v>27.875948491926131</v>
      </c>
      <c r="F39" s="97">
        <v>28.338266842536072</v>
      </c>
      <c r="G39" s="97">
        <v>31.403676783834186</v>
      </c>
      <c r="H39" s="97">
        <v>35.505084090891877</v>
      </c>
      <c r="I39" s="97">
        <v>40.099109595078332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sire comparison</vt:lpstr>
      <vt:lpstr>sensitivity</vt:lpstr>
      <vt:lpstr>geneflow</vt:lpstr>
      <vt:lpstr>example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devrieslocal</dc:creator>
  <cp:lastModifiedBy>De Vries,Albert</cp:lastModifiedBy>
  <dcterms:created xsi:type="dcterms:W3CDTF">2017-09-04T19:29:55Z</dcterms:created>
  <dcterms:modified xsi:type="dcterms:W3CDTF">2017-10-23T20:09:40Z</dcterms:modified>
</cp:coreProperties>
</file>