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056" yWindow="600" windowWidth="9690" windowHeight="7290" activeTab="0"/>
  </bookViews>
  <sheets>
    <sheet name="CAPBUD" sheetId="1" r:id="rId1"/>
  </sheets>
  <definedNames>
    <definedName name="_xlnm.Print_Area" localSheetId="0">'CAPBUD'!$S$37:$AN$65</definedName>
    <definedName name="zRISK153Range1">'CAPBUD'!$L$34</definedName>
    <definedName name="zRISK153Range10">'CAPBUD'!$L$6</definedName>
    <definedName name="zRISK153Range2">'CAPBUD'!$L$33</definedName>
    <definedName name="zRISK153Range3">'CAPBUD'!$L$12</definedName>
    <definedName name="zRISK153Range4">'CAPBUD'!$L$13</definedName>
    <definedName name="zRISK153Range5">'CAPBUD'!$L$14</definedName>
    <definedName name="zRISK153Range6">'CAPBUD'!$L$15</definedName>
    <definedName name="zRISK153Range7">'CAPBUD'!$L$16</definedName>
    <definedName name="zRISK153Range8">'CAPBUD'!$L$21</definedName>
    <definedName name="zRISK153Range9">'CAPBUD'!$L$31</definedName>
  </definedNames>
  <calcPr fullCalcOnLoad="1"/>
</workbook>
</file>

<file path=xl/sharedStrings.xml><?xml version="1.0" encoding="utf-8"?>
<sst xmlns="http://schemas.openxmlformats.org/spreadsheetml/2006/main" count="2731" uniqueCount="575">
  <si>
    <t>Cell I1=Silage production cost/ton (as-fed)</t>
  </si>
  <si>
    <t>Row 1=total cwts of milk for year</t>
  </si>
  <si>
    <t>Row 2=actual lbs. milk sold per cow</t>
  </si>
  <si>
    <t>Row 3=total cash available for PP</t>
  </si>
  <si>
    <t>Row 4=actual milk price</t>
  </si>
  <si>
    <t>Exhibit 1.  Capital expenditures.</t>
  </si>
  <si>
    <t>Exhibit 2.  Input data.</t>
  </si>
  <si>
    <t>Exhibit 4.  Investment analysis summary.</t>
  </si>
  <si>
    <t>Exhibit 3.  Cash income statement.</t>
  </si>
  <si>
    <t>Exhibit 3.  Cash income statement (cont.).</t>
  </si>
  <si>
    <t>Exhibit 5.  Initial investment amortization schedule.</t>
  </si>
  <si>
    <t>Exhibit 8.  Capital replacement schedule.</t>
  </si>
  <si>
    <t>Exhibit 10.  Depreciation schedule for fixed assets.</t>
  </si>
  <si>
    <t>I.  REAL ESTATE COSTS</t>
  </si>
  <si>
    <t>OPERATING INFORMATION:</t>
  </si>
  <si>
    <t>1.  Total, after-tax, net cash income:</t>
  </si>
  <si>
    <t>2.  Average ROR*1:</t>
  </si>
  <si>
    <t>% of</t>
  </si>
  <si>
    <t>Misc.</t>
  </si>
  <si>
    <t>Total</t>
  </si>
  <si>
    <t>Parlor</t>
  </si>
  <si>
    <t>Milking</t>
  </si>
  <si>
    <t>Milk</t>
  </si>
  <si>
    <t>Water</t>
  </si>
  <si>
    <t>Housing</t>
  </si>
  <si>
    <t>Feeding</t>
  </si>
  <si>
    <t>Waste</t>
  </si>
  <si>
    <t>Depreciation</t>
  </si>
  <si>
    <t>Herd size:</t>
  </si>
  <si>
    <t>3.  Sources of initial invested capital:</t>
  </si>
  <si>
    <t>%</t>
  </si>
  <si>
    <t>YEAR:</t>
  </si>
  <si>
    <t>per cow</t>
  </si>
  <si>
    <t>per cwt</t>
  </si>
  <si>
    <t>Revenue</t>
  </si>
  <si>
    <t>Category</t>
  </si>
  <si>
    <t>Real Estate</t>
  </si>
  <si>
    <t>Livestock</t>
  </si>
  <si>
    <t>Construction</t>
  </si>
  <si>
    <t>Equipment</t>
  </si>
  <si>
    <t>Eqmt.</t>
  </si>
  <si>
    <t>Storage Eq.</t>
  </si>
  <si>
    <t>System</t>
  </si>
  <si>
    <t>Mgmt.</t>
  </si>
  <si>
    <t>Physical</t>
  </si>
  <si>
    <t>Original</t>
  </si>
  <si>
    <t>1st replacement</t>
  </si>
  <si>
    <t>2nd replacement</t>
  </si>
  <si>
    <t>3rd replacement</t>
  </si>
  <si>
    <t>Capital</t>
  </si>
  <si>
    <t>Construction and</t>
  </si>
  <si>
    <t>Unit</t>
  </si>
  <si>
    <t>Estimated</t>
  </si>
  <si>
    <t>REVENUES:</t>
  </si>
  <si>
    <t>Debt:</t>
  </si>
  <si>
    <t>Principal</t>
  </si>
  <si>
    <t>Interest</t>
  </si>
  <si>
    <t>Discounted</t>
  </si>
  <si>
    <t>Plant</t>
  </si>
  <si>
    <t>Storage</t>
  </si>
  <si>
    <t>Misc. Eqmt.</t>
  </si>
  <si>
    <t>Replacement</t>
  </si>
  <si>
    <t>Capital Replacement</t>
  </si>
  <si>
    <t>Quantity</t>
  </si>
  <si>
    <t>Description</t>
  </si>
  <si>
    <t>Units</t>
  </si>
  <si>
    <t>Cost</t>
  </si>
  <si>
    <t xml:space="preserve">     Milk:</t>
  </si>
  <si>
    <t>Equity:</t>
  </si>
  <si>
    <t>Year</t>
  </si>
  <si>
    <t>Payment</t>
  </si>
  <si>
    <t>Amount</t>
  </si>
  <si>
    <t>(SL-15)</t>
  </si>
  <si>
    <t>(SYD-15)</t>
  </si>
  <si>
    <t>(SL-20)</t>
  </si>
  <si>
    <t>(SYD-20)</t>
  </si>
  <si>
    <t>(SL-10)</t>
  </si>
  <si>
    <t>(SYD-10)</t>
  </si>
  <si>
    <t>(SL-5)</t>
  </si>
  <si>
    <t>(SYD-5)</t>
  </si>
  <si>
    <t>(SL-3)</t>
  </si>
  <si>
    <t>(SYD-3)</t>
  </si>
  <si>
    <t>(SL)</t>
  </si>
  <si>
    <t>(SYD)</t>
  </si>
  <si>
    <t>Land (crops)</t>
  </si>
  <si>
    <t>per acre</t>
  </si>
  <si>
    <t>Milk sold/cow (lbs):</t>
  </si>
  <si>
    <t>4.  Yearly, after-tax, net cash income:</t>
  </si>
  <si>
    <t>5.  Breakeven analysis*2:</t>
  </si>
  <si>
    <t>Actual Milk</t>
  </si>
  <si>
    <t>Cull cows</t>
  </si>
  <si>
    <t>Land (dry cows)</t>
  </si>
  <si>
    <t>Milk price (per cwt):</t>
  </si>
  <si>
    <t>Herd size</t>
  </si>
  <si>
    <t>Milk/cow</t>
  </si>
  <si>
    <t>Milk price</t>
  </si>
  <si>
    <t>Sold/Cow</t>
  </si>
  <si>
    <t>Price</t>
  </si>
  <si>
    <t>Calves</t>
  </si>
  <si>
    <t>Land (dairy)</t>
  </si>
  <si>
    <t>Milk price trend? (yes or no):</t>
  </si>
  <si>
    <t>no</t>
  </si>
  <si>
    <t>Year   1:</t>
  </si>
  <si>
    <t>Silage</t>
  </si>
  <si>
    <t>Sub-total</t>
  </si>
  <si>
    <t>Trend value (% price change per year):</t>
  </si>
  <si>
    <t>Year   2:</t>
  </si>
  <si>
    <t>Total Revenue</t>
  </si>
  <si>
    <t>II.  LIVESTOCK COSTS</t>
  </si>
  <si>
    <t>Milk sold/cow trend? (yes or no):</t>
  </si>
  <si>
    <t>yes</t>
  </si>
  <si>
    <t>Year   3:</t>
  </si>
  <si>
    <t>Trend value (% milk sold per cow change per year):</t>
  </si>
  <si>
    <t>Year   4:</t>
  </si>
  <si>
    <t>VARIABLE CASH EXPENSES:</t>
  </si>
  <si>
    <t xml:space="preserve">     Cull Cows:</t>
  </si>
  <si>
    <t>Year   5:</t>
  </si>
  <si>
    <t>Major</t>
  </si>
  <si>
    <t>Culling rate (per year):</t>
  </si>
  <si>
    <t>Year   6:</t>
  </si>
  <si>
    <t>Purchased commodities</t>
  </si>
  <si>
    <t>Cows</t>
  </si>
  <si>
    <t>per head</t>
  </si>
  <si>
    <t>Average cull cow weight (lbs):</t>
  </si>
  <si>
    <t>Year   7:</t>
  </si>
  <si>
    <t>Cull cow price (per lb):</t>
  </si>
  <si>
    <t>Year   8:</t>
  </si>
  <si>
    <t>Replacements</t>
  </si>
  <si>
    <t>III.  CONSTRUCTION COSTS</t>
  </si>
  <si>
    <t>Annual death loss:</t>
  </si>
  <si>
    <t>Year   9:</t>
  </si>
  <si>
    <t>Labor</t>
  </si>
  <si>
    <t>A.  Milking Barn (includes office)</t>
  </si>
  <si>
    <t xml:space="preserve">     Calves:</t>
  </si>
  <si>
    <t>Year 10:</t>
  </si>
  <si>
    <t>Utilities</t>
  </si>
  <si>
    <t>Year 11:</t>
  </si>
  <si>
    <t>Average bull calf weight (lbs):</t>
  </si>
  <si>
    <t>Year 12:</t>
  </si>
  <si>
    <t>Vet &amp; Medicine</t>
  </si>
  <si>
    <t>Bull calf price (per lb):</t>
  </si>
  <si>
    <t>Year 13:</t>
  </si>
  <si>
    <t>Breeding</t>
  </si>
  <si>
    <t>Steel frame building (40' X 256') complete with</t>
  </si>
  <si>
    <t>per sq. ft.</t>
  </si>
  <si>
    <t>Average heifer calf weight (lbs):</t>
  </si>
  <si>
    <t>Year 14:</t>
  </si>
  <si>
    <t>DHIA</t>
  </si>
  <si>
    <t xml:space="preserve">   parlor, pit, holding and wash pens</t>
  </si>
  <si>
    <t>Heifer calf price (per lb):</t>
  </si>
  <si>
    <t>Year 15:</t>
  </si>
  <si>
    <t>Milk Marketing</t>
  </si>
  <si>
    <t>Pump &amp; equipment room (45' X 50')</t>
  </si>
  <si>
    <t>VARIABLE EXPENSES:</t>
  </si>
  <si>
    <t>Year 16:</t>
  </si>
  <si>
    <t>Hauling</t>
  </si>
  <si>
    <t>Office/employee and supply storage areas</t>
  </si>
  <si>
    <t xml:space="preserve">     Major:</t>
  </si>
  <si>
    <t>Year 17:</t>
  </si>
  <si>
    <t>Coop dues</t>
  </si>
  <si>
    <t xml:space="preserve">          Purchased commodities:</t>
  </si>
  <si>
    <t>Year 18:</t>
  </si>
  <si>
    <t>Advertising</t>
  </si>
  <si>
    <t>B.  Parlor Equipment</t>
  </si>
  <si>
    <t>Average cost (per cow/day)*2:</t>
  </si>
  <si>
    <t>Year 19:</t>
  </si>
  <si>
    <t>CCC</t>
  </si>
  <si>
    <t>TOTAL</t>
  </si>
  <si>
    <t xml:space="preserve">          Silage:</t>
  </si>
  <si>
    <t>Year 20:</t>
  </si>
  <si>
    <t>Facilities</t>
  </si>
  <si>
    <t>Market price (per ton, as-fed):</t>
  </si>
  <si>
    <t>6.  Payback period (PP)*3:</t>
  </si>
  <si>
    <t>Repairs</t>
  </si>
  <si>
    <t>Average silage consumption (lbs/cow per day, as-fed):</t>
  </si>
  <si>
    <t>7.  Internal rate of return (IRR)*4:</t>
  </si>
  <si>
    <t>Exhibit 6.  NPV calculation table.</t>
  </si>
  <si>
    <t>Exhibit 9.  Capital replacement amortization schedule.</t>
  </si>
  <si>
    <t>Exhibit 11.  Depreciation schedule for livestock (3 yr).</t>
  </si>
  <si>
    <t>Stalls (Dbl. 20 Herringbone)</t>
  </si>
  <si>
    <t>per stall</t>
  </si>
  <si>
    <t>Sell surplus silage at market price (yes) or cost (no)?:</t>
  </si>
  <si>
    <t>8.  Net present value (NPV)*4:</t>
  </si>
  <si>
    <t>Crops</t>
  </si>
  <si>
    <t>(All values represent discounted, after-tax cash flows)</t>
  </si>
  <si>
    <t>Allowable</t>
  </si>
  <si>
    <t>Loss Due to</t>
  </si>
  <si>
    <t>Loss on</t>
  </si>
  <si>
    <t>Gain 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</si>
  <si>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</si>
  <si>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</si>
  <si>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</si>
  <si>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</si>
  <si>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</si>
  <si>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</si>
  <si>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</si>
  <si>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</si>
  <si>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</si>
  <si>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</si>
  <si>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Cow wash system</t>
  </si>
  <si>
    <t>per sprklr</t>
  </si>
  <si>
    <t xml:space="preserve">          Replacements:</t>
  </si>
  <si>
    <t>Notes:</t>
  </si>
  <si>
    <t>Overhead</t>
  </si>
  <si>
    <t>SLN</t>
  </si>
  <si>
    <t>SYD</t>
  </si>
  <si>
    <t>Unclaimed</t>
  </si>
  <si>
    <t>Salvage</t>
  </si>
  <si>
    <t>Crowd gate</t>
  </si>
  <si>
    <t>each</t>
  </si>
  <si>
    <t>Replacement cost (per head):</t>
  </si>
  <si>
    <t>*1  Average ROR bases return on average, undiscounted, after-tax, net cash flow.  Investment outlay equals total initial</t>
  </si>
  <si>
    <t>Total Variable Cash Expenses</t>
  </si>
  <si>
    <t>Variable</t>
  </si>
  <si>
    <t>Direct</t>
  </si>
  <si>
    <t>Property</t>
  </si>
  <si>
    <t>Remaining</t>
  </si>
  <si>
    <t>Deprec. on</t>
  </si>
  <si>
    <t>Value for</t>
  </si>
  <si>
    <t>Value of</t>
  </si>
  <si>
    <t>Taken</t>
  </si>
  <si>
    <t>Value Loss</t>
  </si>
  <si>
    <t>Value Gain</t>
  </si>
  <si>
    <t>Flush valves</t>
  </si>
  <si>
    <t xml:space="preserve">          Labor:</t>
  </si>
  <si>
    <t xml:space="preserve">       investment plus the present value of all replaced capital.</t>
  </si>
  <si>
    <t>Cash</t>
  </si>
  <si>
    <t>Insurance</t>
  </si>
  <si>
    <t>Tax</t>
  </si>
  <si>
    <t>Net</t>
  </si>
  <si>
    <t>in Herd</t>
  </si>
  <si>
    <t>Per Cow</t>
  </si>
  <si>
    <t>Culled Cows</t>
  </si>
  <si>
    <t>Dead Cows</t>
  </si>
  <si>
    <t>to Date</t>
  </si>
  <si>
    <t>Number of employees:</t>
  </si>
  <si>
    <t>*2  Breakeven points based on inputs required to produce a net cash income of $0.  If breakeven herd size gives the message</t>
  </si>
  <si>
    <t>Expenses</t>
  </si>
  <si>
    <t>Expense</t>
  </si>
  <si>
    <t>Tax Shield</t>
  </si>
  <si>
    <t>Cash Flow</t>
  </si>
  <si>
    <t>C.  Milking Equipment</t>
  </si>
  <si>
    <t>Average hours worked/week:</t>
  </si>
  <si>
    <t xml:space="preserve">       "NO B.E. PT.!", there is no breakeven point due to a negative contribution margin per cow.</t>
  </si>
  <si>
    <t>Wage rate (per hour):</t>
  </si>
  <si>
    <t>*3  Payback period calculated to nearest half year.  Annual cash receipt for PP adjusted for income taxes but not for principal</t>
  </si>
  <si>
    <t>FIXED CASH EXPENSES:</t>
  </si>
  <si>
    <t xml:space="preserve">          Utilities:</t>
  </si>
  <si>
    <t xml:space="preserve">       or interest payments.  Investment value for PP includes only the total initial investment, no capital replacement is con-</t>
  </si>
  <si>
    <t>Principle payments</t>
  </si>
  <si>
    <t>Utilities (per cwt/year):</t>
  </si>
  <si>
    <t xml:space="preserve">       sidered.  If cell contains the message "NO PP!", the PP is not reached by the end of year 20.</t>
  </si>
  <si>
    <t>Interest payments</t>
  </si>
  <si>
    <t>Claws, shells, pulsation</t>
  </si>
  <si>
    <t xml:space="preserve">     Livestock:</t>
  </si>
  <si>
    <t>*4  IRR and NPV are after-tax.  In both calculations investment outlay equals total initial investment plus the present value</t>
  </si>
  <si>
    <t>Other</t>
  </si>
  <si>
    <t>Automatic detachers</t>
  </si>
  <si>
    <t xml:space="preserve">          Vet &amp; Medicine:</t>
  </si>
  <si>
    <t>Balance tank, vacuum &amp; pulsator lines</t>
  </si>
  <si>
    <t>Vet &amp; Medicine expense (per cow/month):</t>
  </si>
  <si>
    <t xml:space="preserve">       assets are included if the investment retirement options are selected in Exhibit 2.</t>
  </si>
  <si>
    <t>SS 3" milk lines w/fittings, 2 receivers, etc.</t>
  </si>
  <si>
    <t xml:space="preserve">          Breeding:</t>
  </si>
  <si>
    <t>Property tax</t>
  </si>
  <si>
    <t>Services per conception:</t>
  </si>
  <si>
    <t>The area below contains calculations necessary for investment analysis, livestock</t>
  </si>
  <si>
    <t>Total Fixed Cash Expenses</t>
  </si>
  <si>
    <t>Exhibit 1.  Capital expenditures (cont.)</t>
  </si>
  <si>
    <t>Average semen cost (per unit):</t>
  </si>
  <si>
    <t>depreciation, and adjustments to cash flow calculations, do not erase or change.</t>
  </si>
  <si>
    <t>Total Cash Expenses</t>
  </si>
  <si>
    <t>D.  Milk Storage &amp; Equipment Rooms</t>
  </si>
  <si>
    <t xml:space="preserve">          DHIA:</t>
  </si>
  <si>
    <t>TREND (milk sold/cow) FEED COST</t>
  </si>
  <si>
    <t>Cash income, before taxes</t>
  </si>
  <si>
    <t>DHIA (per cow/month):</t>
  </si>
  <si>
    <t>PAYBACK CALCULATION AREA</t>
  </si>
  <si>
    <t>IRR CALCULATION AREA*</t>
  </si>
  <si>
    <t>CALCULATION AREA</t>
  </si>
  <si>
    <t>FIXED NON-CASH EXPENSES:</t>
  </si>
  <si>
    <t xml:space="preserve">     Milk Marketing:</t>
  </si>
  <si>
    <t>Invested $</t>
  </si>
  <si>
    <t>Ave. kg</t>
  </si>
  <si>
    <t>Feed cost per</t>
  </si>
  <si>
    <t>Total additional</t>
  </si>
  <si>
    <t>Depreciation Expenses</t>
  </si>
  <si>
    <t>Milk hauling rate (per cwt):</t>
  </si>
  <si>
    <t>NCF Year 1</t>
  </si>
  <si>
    <t>milk/day</t>
  </si>
  <si>
    <t>kg milk*1</t>
  </si>
  <si>
    <t>feed cost*2</t>
  </si>
  <si>
    <t>6,000 gal. milk tanks</t>
  </si>
  <si>
    <t>Coop dues (per cwt):</t>
  </si>
  <si>
    <t>NCF Year 2</t>
  </si>
  <si>
    <t>Two stage plate cooler w/chiller</t>
  </si>
  <si>
    <t>Advertising (per cwt):</t>
  </si>
  <si>
    <t>NCF Year 3</t>
  </si>
  <si>
    <t>Refrigeration compressors for milk tanks</t>
  </si>
  <si>
    <t>CCC (per cwt):</t>
  </si>
  <si>
    <t>NCF Year 4</t>
  </si>
  <si>
    <t>Capital replacement</t>
  </si>
  <si>
    <t>CIP system and milkhouse equipment</t>
  </si>
  <si>
    <t>Exhibit 2.  Input data (cont.).</t>
  </si>
  <si>
    <t>NCF Year 5</t>
  </si>
  <si>
    <t>Vacuum system (25 hp pumps w/all eqmt.)</t>
  </si>
  <si>
    <t xml:space="preserve">     Facilities/Equipment:</t>
  </si>
  <si>
    <t>NCF Year 6</t>
  </si>
  <si>
    <t>Loss (gain) on culled &amp; dead cows</t>
  </si>
  <si>
    <t>Heat recovery hot water heaters</t>
  </si>
  <si>
    <t>Facility repair (per cow/month):</t>
  </si>
  <si>
    <t>NCF Year 7</t>
  </si>
  <si>
    <t>Total fixed non-cash expenses</t>
  </si>
  <si>
    <t>100 gal. hot water heaters</t>
  </si>
  <si>
    <t xml:space="preserve">     Misc.:</t>
  </si>
  <si>
    <t>NCF Year 8</t>
  </si>
  <si>
    <t>TAXABLE INCOME:</t>
  </si>
  <si>
    <t>Exhibit 11.  Depreciation schedule for livestock (3 yr) (cont.).</t>
  </si>
  <si>
    <t>Compressed air system</t>
  </si>
  <si>
    <t xml:space="preserve">          Crops:</t>
  </si>
  <si>
    <t>NCF Year 9</t>
  </si>
  <si>
    <t>Income tax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</si>
  <si>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</si>
  <si>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</si>
  <si>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</si>
  <si>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</si>
  <si>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</si>
  <si>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</si>
  <si>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</si>
  <si>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</si>
  <si>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</si>
  <si>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Number of corn silage crops grown per year:</t>
  </si>
  <si>
    <t>NCF Year 10</t>
  </si>
  <si>
    <t>NET CASH INCOME:</t>
  </si>
  <si>
    <t>Exhibit 7.  IRR calculation table.</t>
  </si>
  <si>
    <t>Available</t>
  </si>
  <si>
    <t>E.  Water System</t>
  </si>
  <si>
    <t>Variable silage production (per acre/year):</t>
  </si>
  <si>
    <t>NCF Year 11</t>
  </si>
  <si>
    <t>***Breakeven Analysis***</t>
  </si>
  <si>
    <t>(All values represent undiscounted, after-tax cash flows)</t>
  </si>
  <si>
    <t>For Tax</t>
  </si>
  <si>
    <t>Variable silage harvesting (per acre/year):</t>
  </si>
  <si>
    <t>NCF Year 12</t>
  </si>
  <si>
    <t>Shield</t>
  </si>
  <si>
    <t>Silage yield (tons per acre, as-fed):</t>
  </si>
  <si>
    <t>NCF Year 13</t>
  </si>
  <si>
    <t>Milk sold/cow (lbs)</t>
  </si>
  <si>
    <t>Silage storage and feeding losses (%, as-fed basis):</t>
  </si>
  <si>
    <t>NCF Year 14</t>
  </si>
  <si>
    <t>Milk price (per cwt)</t>
  </si>
  <si>
    <t>Wells w/pumps, pressure tanks</t>
  </si>
  <si>
    <t xml:space="preserve">          Overhead:</t>
  </si>
  <si>
    <t>Water tanks (3)  (parlor flush, wash floor)</t>
  </si>
  <si>
    <t>gal.</t>
  </si>
  <si>
    <t>Variable overhead rate (per cow/month):</t>
  </si>
  <si>
    <t>NCF Year 16</t>
  </si>
  <si>
    <t>20 hp jet wash pump (wash floor)</t>
  </si>
  <si>
    <t>Total variable cost trend? (yes or no):</t>
  </si>
  <si>
    <t>NCF Year 17</t>
  </si>
  <si>
    <t>Water distribution system</t>
  </si>
  <si>
    <t>per linear ft.</t>
  </si>
  <si>
    <t>Trend value (% TVC change per year):</t>
  </si>
  <si>
    <t>NCF Year 18</t>
  </si>
  <si>
    <t>FIXED EXPENSES:</t>
  </si>
  <si>
    <t>NCF Year 19</t>
  </si>
  <si>
    <t>F.  Electrical System</t>
  </si>
  <si>
    <t xml:space="preserve">     Other:</t>
  </si>
  <si>
    <t>NCF Year 20</t>
  </si>
  <si>
    <t>Insurance (per cow/month):</t>
  </si>
  <si>
    <t>Property tax (per cow/month):</t>
  </si>
  <si>
    <t>*All cash flows are after-tax, undiscounted.</t>
  </si>
  <si>
    <t>*1  Feed cost per kg milk is calculated based on average</t>
  </si>
  <si>
    <t>Fixed overhead rate (per cow/month):</t>
  </si>
  <si>
    <t xml:space="preserve">       daily MY (average milk sold per cow ÷ 305) and a</t>
  </si>
  <si>
    <t>Main &amp; parlor service entrance</t>
  </si>
  <si>
    <t>FINANCING INFORMATION:</t>
  </si>
  <si>
    <t xml:space="preserve">       regression equation:</t>
  </si>
  <si>
    <t>150 kw standby generator</t>
  </si>
  <si>
    <t>% Debt financed:</t>
  </si>
  <si>
    <t xml:space="preserve">       Feed cost/kg milk = .0477 + .0003*(Ave. daily MY)</t>
  </si>
  <si>
    <t>Waste lagoon, manure separator service</t>
  </si>
  <si>
    <t>Real estate:</t>
  </si>
  <si>
    <t xml:space="preserve">       This equation can be found in the Journal of Dairy Science</t>
  </si>
  <si>
    <t>Livestock:</t>
  </si>
  <si>
    <t xml:space="preserve">       Volume 75, page 3118.</t>
  </si>
  <si>
    <t>G.  Housing System</t>
  </si>
  <si>
    <t>Construction*3:</t>
  </si>
  <si>
    <t>*2  Additional feed cost is allocated to "Purchased commodities".</t>
  </si>
  <si>
    <t>Misc. equipment:</t>
  </si>
  <si>
    <t xml:space="preserve">     Capital replacement:</t>
  </si>
  <si>
    <t>Parlor equipment:</t>
  </si>
  <si>
    <t>Complete freestall system</t>
  </si>
  <si>
    <t>Milking equipment:</t>
  </si>
  <si>
    <t>(includes building, stalls, electrical,</t>
  </si>
  <si>
    <t>Milk storage &amp; eqpmt. room:</t>
  </si>
  <si>
    <t>flush system, water, concrete &amp; grooving,</t>
  </si>
  <si>
    <t>Water system:</t>
  </si>
  <si>
    <t>gates, fans, sprinklers, cable fencing,</t>
  </si>
  <si>
    <t>Housing system:</t>
  </si>
  <si>
    <t>Exhibit 11.  Depreciation schedule for livestock (5 yr).</t>
  </si>
  <si>
    <t>lock-up stanchions, etc.)</t>
  </si>
  <si>
    <t>Feeding system:</t>
  </si>
  <si>
    <t>Waste mgmt. system:</t>
  </si>
  <si>
    <t>H.  Feeding System</t>
  </si>
  <si>
    <t>Terms &amp; Interest rates:</t>
  </si>
  <si>
    <t>Term (yrs.)</t>
  </si>
  <si>
    <t>Rate</t>
  </si>
  <si>
    <t>This area contains calculations necessary for retirement of dairy investment at end of year 20, do not erase or change.</t>
  </si>
  <si>
    <t>Real estate (1-20):</t>
  </si>
  <si>
    <t>Calculation of retirement value for livestock at end of year 20.</t>
  </si>
  <si>
    <t>Livestock (1-20):</t>
  </si>
  <si>
    <t>Construction (1-20):</t>
  </si>
  <si>
    <t>Retirement</t>
  </si>
  <si>
    <t>Gain/(Loss) on</t>
  </si>
  <si>
    <t>(Loss) on</t>
  </si>
  <si>
    <t>Bunker silos (concrete floor, sides, apron)</t>
  </si>
  <si>
    <t>Misc. equipment (1-20):</t>
  </si>
  <si>
    <t>Live</t>
  </si>
  <si>
    <t>Dead</t>
  </si>
  <si>
    <t>Book Value</t>
  </si>
  <si>
    <t>Value</t>
  </si>
  <si>
    <t>Retirement of</t>
  </si>
  <si>
    <t>Commodity shed</t>
  </si>
  <si>
    <t>Cows remaining in the herd from:</t>
  </si>
  <si>
    <t>Live Cows</t>
  </si>
  <si>
    <t>of Dead Cows</t>
  </si>
  <si>
    <t>Machinery service/repair shop</t>
  </si>
  <si>
    <t>Parlor equipment (1-10):</t>
  </si>
  <si>
    <t>Year   19</t>
  </si>
  <si>
    <t>Machinery shed</t>
  </si>
  <si>
    <t>Milking equipment (1-5):</t>
  </si>
  <si>
    <t>Year   18</t>
  </si>
  <si>
    <t>Scales</t>
  </si>
  <si>
    <t>Milk storage &amp; eqpmt. room (1-10):</t>
  </si>
  <si>
    <t>Year   17</t>
  </si>
  <si>
    <t>Water system (1-10):</t>
  </si>
  <si>
    <t>Year   16</t>
  </si>
  <si>
    <t>I.  Site Development</t>
  </si>
  <si>
    <t>Housing system (1-10):</t>
  </si>
  <si>
    <t>Year   15</t>
  </si>
  <si>
    <t>Feeding system (1-10):</t>
  </si>
  <si>
    <t>Year   14</t>
  </si>
  <si>
    <t>Waste mgmt. system (1-10):</t>
  </si>
  <si>
    <t>Year   13</t>
  </si>
  <si>
    <t>Misc. equipment (1-5):</t>
  </si>
  <si>
    <t>Year   12</t>
  </si>
  <si>
    <t>Fencing, gates</t>
  </si>
  <si>
    <t>Year   11</t>
  </si>
  <si>
    <t>Pasture improvement &amp; water (dry cows)</t>
  </si>
  <si>
    <t>Capital replacement:</t>
  </si>
  <si>
    <t>% of initial</t>
  </si>
  <si>
    <t>Year     9</t>
  </si>
  <si>
    <t>Waste pond excavation &amp; lining</t>
  </si>
  <si>
    <t>per cubic yd.</t>
  </si>
  <si>
    <t>Replaced at</t>
  </si>
  <si>
    <t>investment</t>
  </si>
  <si>
    <t>Year     8</t>
  </si>
  <si>
    <t>Site leveling &amp; shaping, roads</t>
  </si>
  <si>
    <t>end of year</t>
  </si>
  <si>
    <t>replaced</t>
  </si>
  <si>
    <t>Year     7</t>
  </si>
  <si>
    <t>Year     6</t>
  </si>
  <si>
    <t>J.  Waste Management</t>
  </si>
  <si>
    <t>5,10,15</t>
  </si>
  <si>
    <t>Year     5</t>
  </si>
  <si>
    <t>Year     4</t>
  </si>
  <si>
    <t>Year     3</t>
  </si>
  <si>
    <t>Totals</t>
  </si>
  <si>
    <t>Exhibit 11.  Depreciation schedule for livestock (yr) (cont.).</t>
  </si>
  <si>
    <t>Concrete (apron, settling/sand trap basin)</t>
  </si>
  <si>
    <t>Investment</t>
  </si>
  <si>
    <t>Manure solids separator</t>
  </si>
  <si>
    <t>20 hp pump (for separator)</t>
  </si>
  <si>
    <t>Summary</t>
  </si>
  <si>
    <t>40 hp lagoon pump</t>
  </si>
  <si>
    <t>Depreciation*4:</t>
  </si>
  <si>
    <t xml:space="preserve">  Livestock:</t>
  </si>
  <si>
    <t>4 arch, towable center pivot irrigation system</t>
  </si>
  <si>
    <t>Depreciate cows to $0 (yes) or to cull value (no)?:</t>
  </si>
  <si>
    <t>Total Gain/(Loss):</t>
  </si>
  <si>
    <t>Piping, valves, etc.</t>
  </si>
  <si>
    <t>SLN (yes) or</t>
  </si>
  <si>
    <t>EUL*6</t>
  </si>
  <si>
    <t>Cash Value:</t>
  </si>
  <si>
    <t>SYD (no)?*5</t>
  </si>
  <si>
    <t>(years)</t>
  </si>
  <si>
    <t>Taxable Value:</t>
  </si>
  <si>
    <t>K.  Maternity and Calving Area</t>
  </si>
  <si>
    <t>Livestock (3 or 5):</t>
  </si>
  <si>
    <t>Taxes Due:</t>
  </si>
  <si>
    <t>Parlor eqmt. (10):</t>
  </si>
  <si>
    <t>After-Tax Cash Value:</t>
  </si>
  <si>
    <t>Milking eqmt. (5):</t>
  </si>
  <si>
    <t>Discounted, After-Tax Cash Value:</t>
  </si>
  <si>
    <t>Milk storage &amp; eqpmt. room (10):</t>
  </si>
  <si>
    <t xml:space="preserve">  Fixed Assets:</t>
  </si>
  <si>
    <t>Maternity barn (12 pens), springer lot</t>
  </si>
  <si>
    <t>per pen</t>
  </si>
  <si>
    <t>Misc. equipment (3 or 5):</t>
  </si>
  <si>
    <t>Book Value:</t>
  </si>
  <si>
    <t>Calf hutches</t>
  </si>
  <si>
    <t>Physical plant*7 (15 or 20):</t>
  </si>
  <si>
    <t>Capital replacement*8:</t>
  </si>
  <si>
    <t>NA</t>
  </si>
  <si>
    <t>Total Gain:</t>
  </si>
  <si>
    <t>Other:</t>
  </si>
  <si>
    <t>IV.  MISC. EQUIPMENT COSTS</t>
  </si>
  <si>
    <t>Discount rate:</t>
  </si>
  <si>
    <t>Income tax rate:</t>
  </si>
  <si>
    <t>Investment retirement:</t>
  </si>
  <si>
    <t xml:space="preserve">  Real Estate:</t>
  </si>
  <si>
    <t>Feed truck w/weigh mixer</t>
  </si>
  <si>
    <t xml:space="preserve">     Real Estate:</t>
  </si>
  <si>
    <t>option</t>
  </si>
  <si>
    <t>value*9</t>
  </si>
  <si>
    <t>Front end loader</t>
  </si>
  <si>
    <t>Does real estate have a retirement value (yes or no)?:</t>
  </si>
  <si>
    <t>Skid steer loader</t>
  </si>
  <si>
    <t>Did real estate appreciate (yes or no)?:</t>
  </si>
  <si>
    <t>Taxable/Cash Value:</t>
  </si>
  <si>
    <t>Silage trucks (also haul manure solids)</t>
  </si>
  <si>
    <t>Percent appreciation:</t>
  </si>
  <si>
    <t>Tools, shop equipment</t>
  </si>
  <si>
    <t>Misc. equipment (e.g., nuts &amp; bolts, spare parts)</t>
  </si>
  <si>
    <t>Does livestock have a retirement value (yes or no)?:</t>
  </si>
  <si>
    <t>Fuel tanks (gasoline, diesel) w/roof</t>
  </si>
  <si>
    <t>Enter retirement value ($/cow):</t>
  </si>
  <si>
    <t>Silage chopper</t>
  </si>
  <si>
    <t xml:space="preserve">     Fixed Assets*10:</t>
  </si>
  <si>
    <t>100+ hp tractor</t>
  </si>
  <si>
    <t>Do fixed assets have a retirement value (yes or no)?:</t>
  </si>
  <si>
    <t>85 hp tractor</t>
  </si>
  <si>
    <t>Fair market value equals X% of original investment?:</t>
  </si>
  <si>
    <t>Cultivating &amp; planting equipment</t>
  </si>
  <si>
    <t>Bush-hog/mower</t>
  </si>
  <si>
    <t>*1  This message tells user if herd size in capital expenditures (Exhibit 1) matches (OK)</t>
  </si>
  <si>
    <t>Lawnmower</t>
  </si>
  <si>
    <t xml:space="preserve">        herd size in cash income calculations (Exhibit 3).</t>
  </si>
  <si>
    <t>Weed-eater (heavy duty)</t>
  </si>
  <si>
    <t>*2  Enter average cost per day necessary to produce initial milk sold per cow.  If milk</t>
  </si>
  <si>
    <t>Gooseneck livestock trailer</t>
  </si>
  <si>
    <t xml:space="preserve">        yield trend is selected, this component of feed cost is automatically increased to</t>
  </si>
  <si>
    <t>4wd pick up truck</t>
  </si>
  <si>
    <t xml:space="preserve">        meet increased milk production.</t>
  </si>
  <si>
    <t>Herdsman's equip. (refrig., semen tank, etc.)</t>
  </si>
  <si>
    <t>*3  Consulting, legal &amp; administrative fees and contingency allowance are amortized as</t>
  </si>
  <si>
    <t>Computer system (w/battery backup)</t>
  </si>
  <si>
    <t xml:space="preserve">        a construction cost.</t>
  </si>
  <si>
    <t>Maternity &amp; calf equipment</t>
  </si>
  <si>
    <t>*4  Enter "yes" for straight-line depreciation, enter "no" for sum-of-the-year's-digits</t>
  </si>
  <si>
    <t>(calf bottles, medicine, obs. chains, etc.)</t>
  </si>
  <si>
    <t xml:space="preserve">       depreciation.</t>
  </si>
  <si>
    <t>*5  SLN = straight line depreciation, SYD = sum-of-the-years'-digits depreciation.</t>
  </si>
  <si>
    <t>V.  SUMMARY</t>
  </si>
  <si>
    <t>*6  EUL = expected useful life.</t>
  </si>
  <si>
    <t>*7  Physical plant = milking barn, water, electrical, housing, feeding system, and waste</t>
  </si>
  <si>
    <t>Per</t>
  </si>
  <si>
    <t xml:space="preserve">       management system; site development; maternity area; consulting, legal,</t>
  </si>
  <si>
    <t>Cow</t>
  </si>
  <si>
    <t xml:space="preserve">      administrative fees; contingency allowance.</t>
  </si>
  <si>
    <t>Total real estate costs</t>
  </si>
  <si>
    <t>*8  Capital replacement does not include replaced misc. eqpmt.  Misc. eqpmt. that is</t>
  </si>
  <si>
    <t>Total livestock costs</t>
  </si>
  <si>
    <t xml:space="preserve">       replaced is depreciated separately.</t>
  </si>
  <si>
    <t>Total construction costs</t>
  </si>
  <si>
    <t>*9  Retirement values are undiscounted and before tax.  Retirement values are adjusted</t>
  </si>
  <si>
    <t>Total misc. equipment costs</t>
  </si>
  <si>
    <t xml:space="preserve">       for capital gains/losses, taxes, and time value of money in IRR and NPV calculations</t>
  </si>
  <si>
    <t>Consulting, legal &amp; administrative fees</t>
  </si>
  <si>
    <t xml:space="preserve">       in Exhibit 4.</t>
  </si>
  <si>
    <t>Contingency allowance</t>
  </si>
  <si>
    <t>*10  Fixed assets includes all buildings and equipment.</t>
  </si>
  <si>
    <t>Grand Total</t>
  </si>
  <si>
    <t xml:space="preserve">       of all replaced capital.  Retirement values (adjusted for capital gains and income taxes) for real estate, livestock, and fixed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</si>
</sst>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Palatino"/>
      <family val="0"/>
    </font>
    <font>
      <sz val="12"/>
      <name val="Palatino"/>
      <family val="0"/>
    </font>
    <font>
      <sz val="10"/>
      <name val="Palatino"/>
      <family val="0"/>
    </font>
    <font>
      <b/>
      <sz val="10"/>
      <name val="Palatino"/>
      <family val="0"/>
    </font>
    <font>
      <sz val="12"/>
      <color indexed="12"/>
      <name val="Palatino"/>
      <family val="1"/>
    </font>
    <font>
      <sz val="8"/>
      <name val="Geneva"/>
      <family val="0"/>
    </font>
    <font>
      <sz val="12"/>
      <color indexed="56"/>
      <name val="Palatin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5" fontId="5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5" fontId="5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5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5" fontId="4" fillId="0" borderId="0" xfId="0" applyNumberFormat="1" applyFont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" fontId="5" fillId="0" borderId="1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3" fontId="5" fillId="0" borderId="2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right"/>
    </xf>
    <xf numFmtId="5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5" fontId="4" fillId="0" borderId="22" xfId="0" applyNumberFormat="1" applyFont="1" applyBorder="1" applyAlignment="1">
      <alignment horizontal="right"/>
    </xf>
    <xf numFmtId="5" fontId="5" fillId="0" borderId="15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5" fontId="4" fillId="0" borderId="15" xfId="0" applyNumberFormat="1" applyFont="1" applyBorder="1" applyAlignment="1">
      <alignment horizontal="right"/>
    </xf>
    <xf numFmtId="5" fontId="4" fillId="0" borderId="16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5" fontId="4" fillId="0" borderId="12" xfId="0" applyNumberFormat="1" applyFont="1" applyBorder="1" applyAlignment="1">
      <alignment horizontal="left"/>
    </xf>
    <xf numFmtId="5" fontId="4" fillId="0" borderId="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5" fontId="4" fillId="0" borderId="12" xfId="0" applyNumberFormat="1" applyFont="1" applyBorder="1" applyAlignment="1">
      <alignment horizontal="right"/>
    </xf>
    <xf numFmtId="5" fontId="4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 horizontal="right"/>
    </xf>
    <xf numFmtId="5" fontId="4" fillId="0" borderId="28" xfId="0" applyNumberFormat="1" applyFont="1" applyBorder="1" applyAlignment="1">
      <alignment/>
    </xf>
    <xf numFmtId="5" fontId="4" fillId="0" borderId="29" xfId="0" applyNumberFormat="1" applyFont="1" applyBorder="1" applyAlignment="1">
      <alignment/>
    </xf>
    <xf numFmtId="5" fontId="4" fillId="0" borderId="30" xfId="0" applyNumberFormat="1" applyFont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/>
    </xf>
    <xf numFmtId="0" fontId="4" fillId="0" borderId="3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3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5" fontId="5" fillId="0" borderId="32" xfId="0" applyNumberFormat="1" applyFont="1" applyBorder="1" applyAlignment="1">
      <alignment horizontal="center"/>
    </xf>
    <xf numFmtId="5" fontId="5" fillId="0" borderId="2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5" fontId="4" fillId="0" borderId="28" xfId="0" applyNumberFormat="1" applyFont="1" applyBorder="1" applyAlignment="1">
      <alignment horizontal="center"/>
    </xf>
    <xf numFmtId="5" fontId="4" fillId="0" borderId="2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5" fillId="0" borderId="27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5" fontId="5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 applyProtection="1">
      <alignment horizontal="center"/>
      <protection/>
    </xf>
    <xf numFmtId="5" fontId="4" fillId="0" borderId="34" xfId="0" applyNumberFormat="1" applyFont="1" applyBorder="1" applyAlignment="1">
      <alignment/>
    </xf>
    <xf numFmtId="3" fontId="5" fillId="0" borderId="13" xfId="0" applyNumberFormat="1" applyFont="1" applyFill="1" applyBorder="1" applyAlignment="1" applyProtection="1">
      <alignment horizontal="right"/>
      <protection hidden="1"/>
    </xf>
    <xf numFmtId="3" fontId="5" fillId="0" borderId="27" xfId="0" applyNumberFormat="1" applyFont="1" applyFill="1" applyBorder="1" applyAlignment="1" applyProtection="1">
      <alignment horizontal="right"/>
      <protection hidden="1"/>
    </xf>
    <xf numFmtId="0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5" fontId="5" fillId="0" borderId="13" xfId="0" applyNumberFormat="1" applyFont="1" applyBorder="1" applyAlignment="1">
      <alignment horizontal="right"/>
    </xf>
    <xf numFmtId="5" fontId="4" fillId="0" borderId="35" xfId="0" applyNumberFormat="1" applyFont="1" applyBorder="1" applyAlignment="1">
      <alignment horizontal="right"/>
    </xf>
    <xf numFmtId="5" fontId="5" fillId="0" borderId="13" xfId="0" applyNumberFormat="1" applyFont="1" applyBorder="1" applyAlignment="1">
      <alignment/>
    </xf>
    <xf numFmtId="5" fontId="4" fillId="0" borderId="36" xfId="0" applyNumberFormat="1" applyFont="1" applyBorder="1" applyAlignment="1">
      <alignment/>
    </xf>
    <xf numFmtId="5" fontId="5" fillId="0" borderId="26" xfId="0" applyNumberFormat="1" applyFont="1" applyBorder="1" applyAlignment="1">
      <alignment/>
    </xf>
    <xf numFmtId="5" fontId="5" fillId="0" borderId="27" xfId="0" applyNumberFormat="1" applyFont="1" applyBorder="1" applyAlignment="1">
      <alignment horizontal="right"/>
    </xf>
    <xf numFmtId="5" fontId="5" fillId="0" borderId="27" xfId="0" applyNumberFormat="1" applyFont="1" applyBorder="1" applyAlignment="1">
      <alignment/>
    </xf>
    <xf numFmtId="5" fontId="4" fillId="0" borderId="37" xfId="0" applyNumberFormat="1" applyFont="1" applyBorder="1" applyAlignment="1">
      <alignment/>
    </xf>
    <xf numFmtId="5" fontId="5" fillId="0" borderId="34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5" fillId="0" borderId="0" xfId="0" applyNumberFormat="1" applyFont="1" applyAlignment="1">
      <alignment/>
    </xf>
    <xf numFmtId="7" fontId="5" fillId="0" borderId="23" xfId="0" applyNumberFormat="1" applyFont="1" applyBorder="1" applyAlignment="1">
      <alignment horizontal="center"/>
    </xf>
    <xf numFmtId="7" fontId="5" fillId="0" borderId="33" xfId="0" applyNumberFormat="1" applyFont="1" applyBorder="1" applyAlignment="1">
      <alignment horizontal="center"/>
    </xf>
    <xf numFmtId="6" fontId="4" fillId="0" borderId="0" xfId="0" applyNumberFormat="1" applyFont="1" applyAlignment="1">
      <alignment/>
    </xf>
    <xf numFmtId="7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7" fontId="5" fillId="0" borderId="21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5" fontId="5" fillId="0" borderId="21" xfId="0" applyNumberFormat="1" applyFont="1" applyBorder="1" applyAlignment="1" applyProtection="1">
      <alignment horizontal="center"/>
      <protection locked="0"/>
    </xf>
    <xf numFmtId="3" fontId="5" fillId="0" borderId="25" xfId="0" applyNumberFormat="1" applyFont="1" applyBorder="1" applyAlignment="1" applyProtection="1">
      <alignment horizontal="center"/>
      <protection locked="0"/>
    </xf>
    <xf numFmtId="5" fontId="5" fillId="0" borderId="2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3" fontId="5" fillId="33" borderId="38" xfId="0" applyNumberFormat="1" applyFont="1" applyFill="1" applyBorder="1" applyAlignment="1" applyProtection="1">
      <alignment horizontal="center"/>
      <protection/>
    </xf>
    <xf numFmtId="3" fontId="5" fillId="0" borderId="21" xfId="0" applyNumberFormat="1" applyFont="1" applyBorder="1" applyAlignment="1" applyProtection="1">
      <alignment horizontal="center"/>
      <protection/>
    </xf>
    <xf numFmtId="7" fontId="5" fillId="0" borderId="21" xfId="0" applyNumberFormat="1" applyFont="1" applyBorder="1" applyAlignment="1" applyProtection="1">
      <alignment horizontal="center"/>
      <protection/>
    </xf>
    <xf numFmtId="7" fontId="5" fillId="33" borderId="38" xfId="0" applyNumberFormat="1" applyFont="1" applyFill="1" applyBorder="1" applyAlignment="1" applyProtection="1">
      <alignment horizontal="center"/>
      <protection/>
    </xf>
    <xf numFmtId="2" fontId="5" fillId="0" borderId="21" xfId="0" applyNumberFormat="1" applyFont="1" applyBorder="1" applyAlignment="1" applyProtection="1">
      <alignment horizontal="center"/>
      <protection/>
    </xf>
    <xf numFmtId="5" fontId="5" fillId="0" borderId="21" xfId="0" applyNumberFormat="1" applyFont="1" applyBorder="1" applyAlignment="1" applyProtection="1">
      <alignment horizontal="center"/>
      <protection/>
    </xf>
    <xf numFmtId="8" fontId="5" fillId="0" borderId="21" xfId="0" applyNumberFormat="1" applyFont="1" applyBorder="1" applyAlignment="1" applyProtection="1">
      <alignment horizontal="center"/>
      <protection/>
    </xf>
    <xf numFmtId="7" fontId="5" fillId="0" borderId="39" xfId="0" applyNumberFormat="1" applyFont="1" applyBorder="1" applyAlignment="1" applyProtection="1">
      <alignment horizontal="center"/>
      <protection/>
    </xf>
    <xf numFmtId="8" fontId="5" fillId="0" borderId="39" xfId="0" applyNumberFormat="1" applyFont="1" applyBorder="1" applyAlignment="1" applyProtection="1">
      <alignment horizontal="center"/>
      <protection/>
    </xf>
    <xf numFmtId="6" fontId="5" fillId="33" borderId="38" xfId="0" applyNumberFormat="1" applyFont="1" applyFill="1" applyBorder="1" applyAlignment="1" applyProtection="1">
      <alignment horizontal="center"/>
      <protection/>
    </xf>
    <xf numFmtId="9" fontId="5" fillId="0" borderId="39" xfId="0" applyNumberFormat="1" applyFont="1" applyBorder="1" applyAlignment="1" applyProtection="1">
      <alignment horizontal="center"/>
      <protection/>
    </xf>
    <xf numFmtId="10" fontId="4" fillId="0" borderId="27" xfId="0" applyNumberFormat="1" applyFont="1" applyBorder="1" applyAlignment="1" applyProtection="1">
      <alignment horizontal="center"/>
      <protection/>
    </xf>
    <xf numFmtId="10" fontId="4" fillId="0" borderId="40" xfId="0" applyNumberFormat="1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left"/>
    </xf>
    <xf numFmtId="3" fontId="5" fillId="33" borderId="31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7" fontId="5" fillId="0" borderId="20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>
      <alignment horizontal="left"/>
    </xf>
    <xf numFmtId="7" fontId="5" fillId="0" borderId="17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left"/>
    </xf>
    <xf numFmtId="5" fontId="5" fillId="0" borderId="0" xfId="0" applyNumberFormat="1" applyFont="1" applyBorder="1" applyAlignment="1">
      <alignment/>
    </xf>
    <xf numFmtId="5" fontId="5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5" fillId="0" borderId="43" xfId="0" applyFont="1" applyBorder="1" applyAlignment="1">
      <alignment horizontal="right"/>
    </xf>
    <xf numFmtId="5" fontId="4" fillId="0" borderId="0" xfId="0" applyNumberFormat="1" applyFont="1" applyBorder="1" applyAlignment="1">
      <alignment/>
    </xf>
    <xf numFmtId="5" fontId="4" fillId="0" borderId="18" xfId="0" applyNumberFormat="1" applyFont="1" applyBorder="1" applyAlignment="1">
      <alignment/>
    </xf>
    <xf numFmtId="5" fontId="4" fillId="0" borderId="21" xfId="0" applyNumberFormat="1" applyFont="1" applyBorder="1" applyAlignment="1">
      <alignment horizontal="center"/>
    </xf>
    <xf numFmtId="6" fontId="5" fillId="0" borderId="13" xfId="0" applyNumberFormat="1" applyFont="1" applyBorder="1" applyAlignment="1">
      <alignment horizontal="center"/>
    </xf>
    <xf numFmtId="6" fontId="5" fillId="0" borderId="44" xfId="0" applyNumberFormat="1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6" fontId="5" fillId="0" borderId="35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5" fontId="4" fillId="0" borderId="26" xfId="0" applyNumberFormat="1" applyFont="1" applyBorder="1" applyAlignment="1">
      <alignment horizontal="right"/>
    </xf>
    <xf numFmtId="5" fontId="5" fillId="0" borderId="26" xfId="0" applyNumberFormat="1" applyFont="1" applyBorder="1" applyAlignment="1">
      <alignment horizontal="right"/>
    </xf>
    <xf numFmtId="5" fontId="4" fillId="0" borderId="28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7" fontId="5" fillId="0" borderId="2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5" fontId="4" fillId="0" borderId="23" xfId="0" applyNumberFormat="1" applyFont="1" applyBorder="1" applyAlignment="1">
      <alignment horizontal="right"/>
    </xf>
    <xf numFmtId="7" fontId="5" fillId="0" borderId="13" xfId="0" applyNumberFormat="1" applyFont="1" applyBorder="1" applyAlignment="1">
      <alignment horizontal="right"/>
    </xf>
    <xf numFmtId="7" fontId="4" fillId="0" borderId="35" xfId="0" applyNumberFormat="1" applyFont="1" applyBorder="1" applyAlignment="1">
      <alignment horizontal="right"/>
    </xf>
    <xf numFmtId="7" fontId="4" fillId="0" borderId="36" xfId="0" applyNumberFormat="1" applyFont="1" applyBorder="1" applyAlignment="1">
      <alignment horizontal="right"/>
    </xf>
    <xf numFmtId="7" fontId="4" fillId="0" borderId="26" xfId="0" applyNumberFormat="1" applyFont="1" applyBorder="1" applyAlignment="1">
      <alignment horizontal="right"/>
    </xf>
    <xf numFmtId="7" fontId="5" fillId="0" borderId="26" xfId="0" applyNumberFormat="1" applyFont="1" applyBorder="1" applyAlignment="1">
      <alignment horizontal="right"/>
    </xf>
    <xf numFmtId="7" fontId="4" fillId="0" borderId="28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5" fontId="4" fillId="0" borderId="3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7" fontId="5" fillId="0" borderId="45" xfId="0" applyNumberFormat="1" applyFont="1" applyBorder="1" applyAlignment="1">
      <alignment horizontal="right"/>
    </xf>
    <xf numFmtId="7" fontId="4" fillId="0" borderId="32" xfId="0" applyNumberFormat="1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7" fontId="5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5" fontId="5" fillId="0" borderId="46" xfId="0" applyNumberFormat="1" applyFont="1" applyFill="1" applyBorder="1" applyAlignment="1">
      <alignment/>
    </xf>
    <xf numFmtId="5" fontId="4" fillId="0" borderId="47" xfId="0" applyNumberFormat="1" applyFont="1" applyFill="1" applyBorder="1" applyAlignment="1">
      <alignment/>
    </xf>
    <xf numFmtId="5" fontId="4" fillId="0" borderId="48" xfId="0" applyNumberFormat="1" applyFont="1" applyBorder="1" applyAlignment="1">
      <alignment horizontal="left"/>
    </xf>
    <xf numFmtId="5" fontId="4" fillId="0" borderId="49" xfId="0" applyNumberFormat="1" applyFont="1" applyBorder="1" applyAlignment="1">
      <alignment horizontal="center"/>
    </xf>
    <xf numFmtId="9" fontId="4" fillId="0" borderId="5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6" fontId="5" fillId="0" borderId="13" xfId="0" applyNumberFormat="1" applyFont="1" applyBorder="1" applyAlignment="1">
      <alignment horizontal="right"/>
    </xf>
    <xf numFmtId="5" fontId="5" fillId="0" borderId="0" xfId="0" applyNumberFormat="1" applyFont="1" applyAlignment="1">
      <alignment/>
    </xf>
    <xf numFmtId="7" fontId="4" fillId="0" borderId="0" xfId="0" applyNumberFormat="1" applyFont="1" applyBorder="1" applyAlignment="1">
      <alignment horizontal="left"/>
    </xf>
    <xf numFmtId="5" fontId="4" fillId="33" borderId="48" xfId="0" applyNumberFormat="1" applyFont="1" applyFill="1" applyBorder="1" applyAlignment="1">
      <alignment horizontal="right"/>
    </xf>
    <xf numFmtId="5" fontId="4" fillId="33" borderId="18" xfId="0" applyNumberFormat="1" applyFont="1" applyFill="1" applyBorder="1" applyAlignment="1">
      <alignment horizontal="right"/>
    </xf>
    <xf numFmtId="5" fontId="4" fillId="33" borderId="17" xfId="0" applyNumberFormat="1" applyFont="1" applyFill="1" applyBorder="1" applyAlignment="1">
      <alignment horizontal="right"/>
    </xf>
    <xf numFmtId="5" fontId="4" fillId="33" borderId="51" xfId="0" applyNumberFormat="1" applyFont="1" applyFill="1" applyBorder="1" applyAlignment="1">
      <alignment horizontal="right"/>
    </xf>
    <xf numFmtId="2" fontId="4" fillId="0" borderId="52" xfId="0" applyNumberFormat="1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5" fontId="4" fillId="0" borderId="25" xfId="0" applyNumberFormat="1" applyFont="1" applyBorder="1" applyAlignment="1">
      <alignment horizontal="right"/>
    </xf>
    <xf numFmtId="5" fontId="4" fillId="0" borderId="53" xfId="0" applyNumberFormat="1" applyFont="1" applyFill="1" applyBorder="1" applyAlignment="1">
      <alignment horizontal="center"/>
    </xf>
    <xf numFmtId="5" fontId="4" fillId="0" borderId="46" xfId="0" applyNumberFormat="1" applyFont="1" applyBorder="1" applyAlignment="1">
      <alignment/>
    </xf>
    <xf numFmtId="5" fontId="4" fillId="33" borderId="18" xfId="0" applyNumberFormat="1" applyFont="1" applyFill="1" applyBorder="1" applyAlignment="1">
      <alignment/>
    </xf>
    <xf numFmtId="0" fontId="4" fillId="0" borderId="43" xfId="0" applyFont="1" applyBorder="1" applyAlignment="1">
      <alignment horizontal="right"/>
    </xf>
    <xf numFmtId="5" fontId="4" fillId="0" borderId="52" xfId="0" applyNumberFormat="1" applyFont="1" applyBorder="1" applyAlignment="1">
      <alignment horizontal="right"/>
    </xf>
    <xf numFmtId="5" fontId="4" fillId="33" borderId="0" xfId="0" applyNumberFormat="1" applyFont="1" applyFill="1" applyBorder="1" applyAlignment="1">
      <alignment/>
    </xf>
    <xf numFmtId="10" fontId="4" fillId="33" borderId="21" xfId="0" applyNumberFormat="1" applyFont="1" applyFill="1" applyBorder="1" applyAlignment="1">
      <alignment horizontal="center"/>
    </xf>
    <xf numFmtId="5" fontId="4" fillId="33" borderId="54" xfId="0" applyNumberFormat="1" applyFont="1" applyFill="1" applyBorder="1" applyAlignment="1">
      <alignment/>
    </xf>
    <xf numFmtId="10" fontId="4" fillId="33" borderId="41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5" fontId="4" fillId="0" borderId="17" xfId="0" applyNumberFormat="1" applyFont="1" applyBorder="1" applyAlignment="1">
      <alignment horizontal="center"/>
    </xf>
    <xf numFmtId="5" fontId="4" fillId="0" borderId="55" xfId="0" applyNumberFormat="1" applyFont="1" applyBorder="1" applyAlignment="1">
      <alignment horizontal="right"/>
    </xf>
    <xf numFmtId="10" fontId="5" fillId="0" borderId="0" xfId="0" applyNumberFormat="1" applyFont="1" applyBorder="1" applyAlignment="1" applyProtection="1">
      <alignment horizontal="center"/>
      <protection/>
    </xf>
    <xf numFmtId="10" fontId="4" fillId="0" borderId="32" xfId="0" applyNumberFormat="1" applyFont="1" applyBorder="1" applyAlignment="1" applyProtection="1">
      <alignment horizontal="center"/>
      <protection/>
    </xf>
    <xf numFmtId="2" fontId="4" fillId="0" borderId="26" xfId="0" applyNumberFormat="1" applyFont="1" applyBorder="1" applyAlignment="1">
      <alignment/>
    </xf>
    <xf numFmtId="7" fontId="4" fillId="0" borderId="26" xfId="0" applyNumberFormat="1" applyFont="1" applyBorder="1" applyAlignment="1">
      <alignment/>
    </xf>
    <xf numFmtId="7" fontId="4" fillId="0" borderId="45" xfId="0" applyNumberFormat="1" applyFont="1" applyBorder="1" applyAlignment="1">
      <alignment horizontal="right"/>
    </xf>
    <xf numFmtId="5" fontId="4" fillId="33" borderId="0" xfId="0" applyNumberFormat="1" applyFont="1" applyFill="1" applyBorder="1" applyAlignment="1">
      <alignment horizontal="right"/>
    </xf>
    <xf numFmtId="5" fontId="4" fillId="33" borderId="21" xfId="0" applyNumberFormat="1" applyFont="1" applyFill="1" applyBorder="1" applyAlignment="1">
      <alignment horizontal="right"/>
    </xf>
    <xf numFmtId="0" fontId="4" fillId="0" borderId="56" xfId="0" applyFont="1" applyBorder="1" applyAlignment="1">
      <alignment horizontal="left"/>
    </xf>
    <xf numFmtId="10" fontId="4" fillId="0" borderId="57" xfId="0" applyNumberFormat="1" applyFont="1" applyBorder="1" applyAlignment="1">
      <alignment horizontal="center"/>
    </xf>
    <xf numFmtId="10" fontId="4" fillId="0" borderId="46" xfId="0" applyNumberFormat="1" applyFont="1" applyFill="1" applyBorder="1" applyAlignment="1">
      <alignment horizontal="center"/>
    </xf>
    <xf numFmtId="10" fontId="4" fillId="33" borderId="18" xfId="0" applyNumberFormat="1" applyFont="1" applyFill="1" applyBorder="1" applyAlignment="1">
      <alignment horizontal="center"/>
    </xf>
    <xf numFmtId="10" fontId="4" fillId="33" borderId="0" xfId="0" applyNumberFormat="1" applyFont="1" applyFill="1" applyBorder="1" applyAlignment="1">
      <alignment horizontal="center"/>
    </xf>
    <xf numFmtId="10" fontId="4" fillId="33" borderId="54" xfId="0" applyNumberFormat="1" applyFont="1" applyFill="1" applyBorder="1" applyAlignment="1">
      <alignment horizontal="center"/>
    </xf>
    <xf numFmtId="5" fontId="4" fillId="0" borderId="25" xfId="0" applyNumberFormat="1" applyFont="1" applyBorder="1" applyAlignment="1">
      <alignment/>
    </xf>
    <xf numFmtId="5" fontId="4" fillId="0" borderId="25" xfId="0" applyNumberFormat="1" applyFont="1" applyBorder="1" applyAlignment="1">
      <alignment horizontal="center"/>
    </xf>
    <xf numFmtId="7" fontId="5" fillId="0" borderId="55" xfId="0" applyNumberFormat="1" applyFont="1" applyBorder="1" applyAlignment="1">
      <alignment horizontal="center"/>
    </xf>
    <xf numFmtId="7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7" fontId="5" fillId="0" borderId="18" xfId="0" applyNumberFormat="1" applyFont="1" applyBorder="1" applyAlignment="1">
      <alignment horizontal="center"/>
    </xf>
    <xf numFmtId="7" fontId="4" fillId="0" borderId="18" xfId="0" applyNumberFormat="1" applyFont="1" applyBorder="1" applyAlignment="1">
      <alignment horizontal="center"/>
    </xf>
    <xf numFmtId="5" fontId="5" fillId="0" borderId="55" xfId="0" applyNumberFormat="1" applyFont="1" applyBorder="1" applyAlignment="1">
      <alignment horizontal="center"/>
    </xf>
    <xf numFmtId="7" fontId="4" fillId="0" borderId="54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7" fontId="5" fillId="0" borderId="3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7" fontId="4" fillId="0" borderId="44" xfId="0" applyNumberFormat="1" applyFont="1" applyBorder="1" applyAlignment="1">
      <alignment horizontal="left"/>
    </xf>
    <xf numFmtId="7" fontId="5" fillId="0" borderId="52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7" fontId="5" fillId="0" borderId="49" xfId="0" applyNumberFormat="1" applyFont="1" applyBorder="1" applyAlignment="1">
      <alignment horizontal="center"/>
    </xf>
    <xf numFmtId="8" fontId="5" fillId="0" borderId="49" xfId="0" applyNumberFormat="1" applyFont="1" applyBorder="1" applyAlignment="1">
      <alignment horizontal="center"/>
    </xf>
    <xf numFmtId="10" fontId="5" fillId="0" borderId="49" xfId="0" applyNumberFormat="1" applyFont="1" applyBorder="1" applyAlignment="1">
      <alignment horizontal="center"/>
    </xf>
    <xf numFmtId="5" fontId="5" fillId="0" borderId="25" xfId="0" applyNumberFormat="1" applyFont="1" applyBorder="1" applyAlignment="1">
      <alignment horizontal="center"/>
    </xf>
    <xf numFmtId="7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5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7" fontId="6" fillId="0" borderId="0" xfId="0" applyNumberFormat="1" applyFont="1" applyBorder="1" applyAlignment="1">
      <alignment horizontal="left"/>
    </xf>
    <xf numFmtId="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7" fontId="6" fillId="0" borderId="0" xfId="0" applyNumberFormat="1" applyFont="1" applyBorder="1" applyAlignment="1">
      <alignment horizontal="center"/>
    </xf>
    <xf numFmtId="8" fontId="6" fillId="0" borderId="0" xfId="0" applyNumberFormat="1" applyFont="1" applyBorder="1" applyAlignment="1">
      <alignment horizontal="left"/>
    </xf>
    <xf numFmtId="7" fontId="4" fillId="0" borderId="44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7" fontId="6" fillId="0" borderId="18" xfId="0" applyNumberFormat="1" applyFont="1" applyBorder="1" applyAlignment="1">
      <alignment horizontal="left"/>
    </xf>
    <xf numFmtId="8" fontId="5" fillId="0" borderId="18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right"/>
    </xf>
    <xf numFmtId="5" fontId="5" fillId="0" borderId="35" xfId="0" applyNumberFormat="1" applyFont="1" applyBorder="1" applyAlignment="1">
      <alignment horizontal="center"/>
    </xf>
    <xf numFmtId="7" fontId="5" fillId="33" borderId="55" xfId="0" applyNumberFormat="1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5" fontId="5" fillId="33" borderId="25" xfId="0" applyNumberFormat="1" applyFont="1" applyFill="1" applyBorder="1" applyAlignment="1">
      <alignment horizontal="center"/>
    </xf>
    <xf numFmtId="1" fontId="5" fillId="33" borderId="25" xfId="0" applyNumberFormat="1" applyFont="1" applyFill="1" applyBorder="1" applyAlignment="1">
      <alignment horizontal="center"/>
    </xf>
    <xf numFmtId="7" fontId="5" fillId="33" borderId="25" xfId="0" applyNumberFormat="1" applyFont="1" applyFill="1" applyBorder="1" applyAlignment="1">
      <alignment horizontal="center"/>
    </xf>
    <xf numFmtId="8" fontId="5" fillId="33" borderId="25" xfId="0" applyNumberFormat="1" applyFont="1" applyFill="1" applyBorder="1" applyAlignment="1">
      <alignment horizontal="center"/>
    </xf>
    <xf numFmtId="7" fontId="5" fillId="33" borderId="52" xfId="0" applyNumberFormat="1" applyFont="1" applyFill="1" applyBorder="1" applyAlignment="1">
      <alignment horizontal="center"/>
    </xf>
    <xf numFmtId="7" fontId="4" fillId="0" borderId="54" xfId="0" applyNumberFormat="1" applyFont="1" applyBorder="1" applyAlignment="1">
      <alignment horizontal="left"/>
    </xf>
    <xf numFmtId="5" fontId="4" fillId="33" borderId="49" xfId="0" applyNumberFormat="1" applyFont="1" applyFill="1" applyBorder="1" applyAlignment="1">
      <alignment horizontal="left"/>
    </xf>
    <xf numFmtId="5" fontId="4" fillId="33" borderId="58" xfId="0" applyNumberFormat="1" applyFont="1" applyFill="1" applyBorder="1" applyAlignment="1">
      <alignment horizontal="left"/>
    </xf>
    <xf numFmtId="0" fontId="4" fillId="0" borderId="33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0" fontId="4" fillId="0" borderId="21" xfId="0" applyNumberFormat="1" applyFont="1" applyBorder="1" applyAlignment="1" applyProtection="1">
      <alignment horizontal="center"/>
      <protection/>
    </xf>
    <xf numFmtId="10" fontId="4" fillId="0" borderId="41" xfId="0" applyNumberFormat="1" applyFont="1" applyBorder="1" applyAlignment="1" applyProtection="1">
      <alignment horizontal="center"/>
      <protection/>
    </xf>
    <xf numFmtId="5" fontId="5" fillId="0" borderId="51" xfId="0" applyNumberFormat="1" applyFont="1" applyBorder="1" applyAlignment="1" applyProtection="1">
      <alignment horizontal="center"/>
      <protection/>
    </xf>
    <xf numFmtId="5" fontId="5" fillId="0" borderId="0" xfId="0" applyNumberFormat="1" applyFont="1" applyBorder="1" applyAlignment="1" applyProtection="1">
      <alignment horizontal="center"/>
      <protection/>
    </xf>
    <xf numFmtId="5" fontId="5" fillId="33" borderId="57" xfId="0" applyNumberFormat="1" applyFont="1" applyFill="1" applyBorder="1" applyAlignment="1">
      <alignment horizontal="center"/>
    </xf>
    <xf numFmtId="7" fontId="5" fillId="33" borderId="59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7" fontId="6" fillId="0" borderId="49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" fontId="5" fillId="0" borderId="49" xfId="0" applyNumberFormat="1" applyFont="1" applyBorder="1" applyAlignment="1">
      <alignment/>
    </xf>
    <xf numFmtId="7" fontId="5" fillId="0" borderId="49" xfId="0" applyNumberFormat="1" applyFont="1" applyBorder="1" applyAlignment="1">
      <alignment/>
    </xf>
    <xf numFmtId="8" fontId="5" fillId="0" borderId="49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5" xfId="0" applyNumberFormat="1" applyFont="1" applyBorder="1" applyAlignment="1">
      <alignment horizontal="center"/>
    </xf>
    <xf numFmtId="8" fontId="5" fillId="0" borderId="35" xfId="0" applyNumberFormat="1" applyFont="1" applyBorder="1" applyAlignment="1">
      <alignment horizontal="center"/>
    </xf>
    <xf numFmtId="9" fontId="5" fillId="0" borderId="35" xfId="0" applyNumberFormat="1" applyFont="1" applyBorder="1" applyAlignment="1">
      <alignment horizontal="center"/>
    </xf>
    <xf numFmtId="0" fontId="5" fillId="0" borderId="35" xfId="0" applyFont="1" applyBorder="1" applyAlignment="1">
      <alignment/>
    </xf>
    <xf numFmtId="7" fontId="5" fillId="0" borderId="13" xfId="0" applyNumberFormat="1" applyFont="1" applyBorder="1" applyAlignment="1">
      <alignment horizontal="center"/>
    </xf>
    <xf numFmtId="7" fontId="5" fillId="0" borderId="13" xfId="0" applyNumberFormat="1" applyFont="1" applyBorder="1" applyAlignment="1">
      <alignment/>
    </xf>
    <xf numFmtId="8" fontId="5" fillId="0" borderId="13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/>
    </xf>
    <xf numFmtId="1" fontId="5" fillId="0" borderId="44" xfId="0" applyNumberFormat="1" applyFont="1" applyBorder="1" applyAlignment="1">
      <alignment horizontal="center"/>
    </xf>
    <xf numFmtId="10" fontId="5" fillId="0" borderId="44" xfId="0" applyNumberFormat="1" applyFont="1" applyBorder="1" applyAlignment="1">
      <alignment horizontal="center"/>
    </xf>
    <xf numFmtId="8" fontId="5" fillId="0" borderId="44" xfId="0" applyNumberFormat="1" applyFont="1" applyBorder="1" applyAlignment="1">
      <alignment horizontal="center"/>
    </xf>
    <xf numFmtId="9" fontId="5" fillId="0" borderId="44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5" xfId="0" applyFont="1" applyBorder="1" applyAlignment="1">
      <alignment/>
    </xf>
    <xf numFmtId="5" fontId="5" fillId="0" borderId="18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7" fontId="5" fillId="0" borderId="48" xfId="0" applyNumberFormat="1" applyFont="1" applyBorder="1" applyAlignment="1">
      <alignment horizontal="right"/>
    </xf>
    <xf numFmtId="7" fontId="5" fillId="0" borderId="49" xfId="0" applyNumberFormat="1" applyFont="1" applyBorder="1" applyAlignment="1">
      <alignment horizontal="right"/>
    </xf>
    <xf numFmtId="7" fontId="5" fillId="0" borderId="60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5" fontId="4" fillId="0" borderId="4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right"/>
    </xf>
    <xf numFmtId="5" fontId="5" fillId="0" borderId="13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5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5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4" fillId="0" borderId="0" xfId="0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5" fontId="4" fillId="33" borderId="0" xfId="0" applyNumberFormat="1" applyFont="1" applyFill="1" applyBorder="1" applyAlignment="1">
      <alignment horizontal="center"/>
    </xf>
    <xf numFmtId="5" fontId="4" fillId="33" borderId="54" xfId="0" applyNumberFormat="1" applyFont="1" applyFill="1" applyBorder="1" applyAlignment="1">
      <alignment horizontal="center"/>
    </xf>
    <xf numFmtId="5" fontId="4" fillId="33" borderId="46" xfId="0" applyNumberFormat="1" applyFont="1" applyFill="1" applyBorder="1" applyAlignment="1">
      <alignment horizontal="center"/>
    </xf>
    <xf numFmtId="5" fontId="4" fillId="33" borderId="20" xfId="0" applyNumberFormat="1" applyFont="1" applyFill="1" applyBorder="1" applyAlignment="1">
      <alignment horizontal="center"/>
    </xf>
    <xf numFmtId="5" fontId="4" fillId="33" borderId="21" xfId="0" applyNumberFormat="1" applyFont="1" applyFill="1" applyBorder="1" applyAlignment="1">
      <alignment horizontal="center"/>
    </xf>
    <xf numFmtId="5" fontId="4" fillId="33" borderId="41" xfId="0" applyNumberFormat="1" applyFont="1" applyFill="1" applyBorder="1" applyAlignment="1">
      <alignment horizontal="center"/>
    </xf>
    <xf numFmtId="10" fontId="4" fillId="0" borderId="12" xfId="0" applyNumberFormat="1" applyFont="1" applyBorder="1" applyAlignment="1">
      <alignment horizontal="left"/>
    </xf>
    <xf numFmtId="5" fontId="5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5" fontId="5" fillId="0" borderId="51" xfId="0" applyNumberFormat="1" applyFont="1" applyBorder="1" applyAlignment="1">
      <alignment horizontal="right"/>
    </xf>
    <xf numFmtId="9" fontId="4" fillId="0" borderId="61" xfId="0" applyNumberFormat="1" applyFont="1" applyBorder="1" applyAlignment="1">
      <alignment horizontal="center"/>
    </xf>
    <xf numFmtId="9" fontId="4" fillId="0" borderId="62" xfId="0" applyNumberFormat="1" applyFont="1" applyBorder="1" applyAlignment="1">
      <alignment horizontal="center"/>
    </xf>
    <xf numFmtId="9" fontId="4" fillId="0" borderId="63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left"/>
    </xf>
    <xf numFmtId="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0" fontId="5" fillId="0" borderId="21" xfId="0" applyNumberFormat="1" applyFont="1" applyBorder="1" applyAlignment="1" applyProtection="1">
      <alignment horizontal="center"/>
      <protection locked="0"/>
    </xf>
    <xf numFmtId="3" fontId="5" fillId="0" borderId="15" xfId="0" applyNumberFormat="1" applyFont="1" applyBorder="1" applyAlignment="1" applyProtection="1">
      <alignment horizontal="center"/>
      <protection locked="0"/>
    </xf>
    <xf numFmtId="8" fontId="5" fillId="0" borderId="21" xfId="0" applyNumberFormat="1" applyFont="1" applyBorder="1" applyAlignment="1" applyProtection="1">
      <alignment horizontal="center"/>
      <protection locked="0"/>
    </xf>
    <xf numFmtId="10" fontId="5" fillId="0" borderId="13" xfId="0" applyNumberFormat="1" applyFont="1" applyBorder="1" applyAlignment="1" applyProtection="1">
      <alignment horizontal="center"/>
      <protection locked="0"/>
    </xf>
    <xf numFmtId="5" fontId="5" fillId="0" borderId="0" xfId="0" applyNumberFormat="1" applyFont="1" applyAlignment="1" applyProtection="1">
      <alignment horizontal="right"/>
      <protection/>
    </xf>
    <xf numFmtId="5" fontId="5" fillId="0" borderId="0" xfId="0" applyNumberFormat="1" applyFont="1" applyAlignment="1" applyProtection="1">
      <alignment horizontal="center"/>
      <protection/>
    </xf>
    <xf numFmtId="5" fontId="5" fillId="0" borderId="20" xfId="0" applyNumberFormat="1" applyFont="1" applyBorder="1" applyAlignment="1" applyProtection="1">
      <alignment horizontal="center"/>
      <protection/>
    </xf>
    <xf numFmtId="5" fontId="5" fillId="0" borderId="20" xfId="0" applyNumberFormat="1" applyFont="1" applyBorder="1" applyAlignment="1" applyProtection="1">
      <alignment horizontal="right"/>
      <protection/>
    </xf>
    <xf numFmtId="5" fontId="4" fillId="0" borderId="0" xfId="0" applyNumberFormat="1" applyFont="1" applyAlignment="1" applyProtection="1">
      <alignment horizontal="right"/>
      <protection/>
    </xf>
    <xf numFmtId="5" fontId="5" fillId="0" borderId="38" xfId="0" applyNumberFormat="1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5" fontId="5" fillId="0" borderId="21" xfId="0" applyNumberFormat="1" applyFont="1" applyBorder="1" applyAlignment="1" applyProtection="1">
      <alignment horizontal="right"/>
      <protection/>
    </xf>
    <xf numFmtId="5" fontId="5" fillId="0" borderId="51" xfId="0" applyNumberFormat="1" applyFont="1" applyBorder="1" applyAlignment="1" applyProtection="1">
      <alignment horizontal="right"/>
      <protection/>
    </xf>
    <xf numFmtId="5" fontId="5" fillId="0" borderId="11" xfId="0" applyNumberFormat="1" applyFont="1" applyBorder="1" applyAlignment="1" applyProtection="1">
      <alignment horizontal="center"/>
      <protection/>
    </xf>
    <xf numFmtId="5" fontId="5" fillId="0" borderId="23" xfId="0" applyNumberFormat="1" applyFont="1" applyBorder="1" applyAlignment="1" applyProtection="1">
      <alignment horizontal="center"/>
      <protection/>
    </xf>
    <xf numFmtId="5" fontId="5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23" xfId="0" applyNumberFormat="1" applyFont="1" applyBorder="1" applyAlignment="1" applyProtection="1">
      <alignment horizontal="center"/>
      <protection/>
    </xf>
    <xf numFmtId="5" fontId="4" fillId="0" borderId="18" xfId="0" applyNumberFormat="1" applyFont="1" applyBorder="1" applyAlignment="1" applyProtection="1">
      <alignment horizontal="center"/>
      <protection/>
    </xf>
    <xf numFmtId="0" fontId="5" fillId="33" borderId="59" xfId="0" applyNumberFormat="1" applyFont="1" applyFill="1" applyBorder="1" applyAlignment="1" applyProtection="1">
      <alignment horizontal="center"/>
      <protection/>
    </xf>
    <xf numFmtId="5" fontId="5" fillId="0" borderId="21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5" fontId="5" fillId="0" borderId="49" xfId="0" applyNumberFormat="1" applyFont="1" applyBorder="1" applyAlignment="1">
      <alignment horizontal="center"/>
    </xf>
    <xf numFmtId="5" fontId="5" fillId="0" borderId="58" xfId="0" applyNumberFormat="1" applyFont="1" applyBorder="1" applyAlignment="1">
      <alignment horizontal="center"/>
    </xf>
    <xf numFmtId="5" fontId="5" fillId="0" borderId="33" xfId="0" applyNumberFormat="1" applyFont="1" applyBorder="1" applyAlignment="1">
      <alignment horizontal="center"/>
    </xf>
    <xf numFmtId="37" fontId="5" fillId="0" borderId="13" xfId="0" applyNumberFormat="1" applyFont="1" applyBorder="1" applyAlignment="1">
      <alignment/>
    </xf>
    <xf numFmtId="10" fontId="4" fillId="33" borderId="20" xfId="0" applyNumberFormat="1" applyFont="1" applyFill="1" applyBorder="1" applyAlignment="1">
      <alignment horizontal="center"/>
    </xf>
    <xf numFmtId="10" fontId="4" fillId="33" borderId="47" xfId="0" applyNumberFormat="1" applyFont="1" applyFill="1" applyBorder="1" applyAlignment="1">
      <alignment horizontal="center"/>
    </xf>
    <xf numFmtId="5" fontId="4" fillId="0" borderId="54" xfId="0" applyNumberFormat="1" applyFont="1" applyBorder="1" applyAlignment="1">
      <alignment horizontal="center"/>
    </xf>
    <xf numFmtId="5" fontId="4" fillId="0" borderId="27" xfId="0" applyNumberFormat="1" applyFont="1" applyBorder="1" applyAlignment="1">
      <alignment horizontal="center"/>
    </xf>
    <xf numFmtId="5" fontId="4" fillId="0" borderId="40" xfId="0" applyNumberFormat="1" applyFont="1" applyBorder="1" applyAlignment="1">
      <alignment horizontal="center"/>
    </xf>
    <xf numFmtId="7" fontId="5" fillId="0" borderId="27" xfId="0" applyNumberFormat="1" applyFont="1" applyBorder="1" applyAlignment="1">
      <alignment horizontal="center"/>
    </xf>
    <xf numFmtId="7" fontId="5" fillId="0" borderId="4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right"/>
    </xf>
    <xf numFmtId="5" fontId="6" fillId="0" borderId="12" xfId="0" applyNumberFormat="1" applyFont="1" applyBorder="1" applyAlignment="1">
      <alignment horizontal="right"/>
    </xf>
    <xf numFmtId="5" fontId="6" fillId="0" borderId="1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64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65" xfId="0" applyFont="1" applyBorder="1" applyAlignment="1" applyProtection="1">
      <alignment horizontal="left"/>
      <protection locked="0"/>
    </xf>
    <xf numFmtId="0" fontId="5" fillId="0" borderId="65" xfId="0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left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left"/>
      <protection locked="0"/>
    </xf>
    <xf numFmtId="5" fontId="5" fillId="0" borderId="66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47" xfId="0" applyFont="1" applyFill="1" applyBorder="1" applyAlignment="1" applyProtection="1">
      <alignment horizontal="center"/>
      <protection/>
    </xf>
    <xf numFmtId="0" fontId="5" fillId="33" borderId="49" xfId="0" applyFont="1" applyFill="1" applyBorder="1" applyAlignment="1" applyProtection="1">
      <alignment horizontal="center"/>
      <protection/>
    </xf>
    <xf numFmtId="0" fontId="5" fillId="33" borderId="60" xfId="0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67" xfId="0" applyNumberFormat="1" applyFont="1" applyBorder="1" applyAlignment="1" applyProtection="1">
      <alignment horizontal="left"/>
      <protection locked="0"/>
    </xf>
    <xf numFmtId="3" fontId="4" fillId="0" borderId="38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10" fontId="4" fillId="0" borderId="21" xfId="0" applyNumberFormat="1" applyFont="1" applyBorder="1" applyAlignment="1" applyProtection="1">
      <alignment horizontal="center"/>
      <protection locked="0"/>
    </xf>
    <xf numFmtId="5" fontId="5" fillId="0" borderId="5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4" fillId="0" borderId="46" xfId="0" applyNumberFormat="1" applyFont="1" applyBorder="1" applyAlignment="1" applyProtection="1">
      <alignment horizontal="center"/>
      <protection/>
    </xf>
    <xf numFmtId="0" fontId="5" fillId="33" borderId="6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5" fillId="0" borderId="54" xfId="0" applyNumberFormat="1" applyFont="1" applyBorder="1" applyAlignment="1" applyProtection="1">
      <alignment horizontal="left"/>
      <protection/>
    </xf>
    <xf numFmtId="0" fontId="5" fillId="0" borderId="18" xfId="0" applyNumberFormat="1" applyFont="1" applyBorder="1" applyAlignment="1" applyProtection="1">
      <alignment horizontal="left"/>
      <protection/>
    </xf>
    <xf numFmtId="0" fontId="5" fillId="0" borderId="17" xfId="0" applyNumberFormat="1" applyFont="1" applyBorder="1" applyAlignment="1" applyProtection="1">
      <alignment horizontal="left"/>
      <protection/>
    </xf>
    <xf numFmtId="0" fontId="5" fillId="0" borderId="46" xfId="0" applyNumberFormat="1" applyFont="1" applyBorder="1" applyAlignment="1" applyProtection="1">
      <alignment horizontal="left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4" fillId="0" borderId="49" xfId="0" applyNumberFormat="1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44" xfId="0" applyNumberFormat="1" applyFont="1" applyBorder="1" applyAlignment="1" applyProtection="1">
      <alignment horizontal="center"/>
      <protection/>
    </xf>
    <xf numFmtId="0" fontId="5" fillId="0" borderId="25" xfId="0" applyNumberFormat="1" applyFont="1" applyBorder="1" applyAlignment="1" applyProtection="1">
      <alignment horizontal="left"/>
      <protection/>
    </xf>
    <xf numFmtId="0" fontId="4" fillId="0" borderId="13" xfId="0" applyNumberFormat="1" applyFont="1" applyBorder="1" applyAlignment="1" applyProtection="1">
      <alignment horizontal="center"/>
      <protection/>
    </xf>
    <xf numFmtId="9" fontId="5" fillId="33" borderId="39" xfId="0" applyNumberFormat="1" applyFont="1" applyFill="1" applyBorder="1" applyAlignment="1" applyProtection="1">
      <alignment horizontal="center"/>
      <protection/>
    </xf>
    <xf numFmtId="9" fontId="5" fillId="33" borderId="21" xfId="0" applyNumberFormat="1" applyFont="1" applyFill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37" fontId="5" fillId="0" borderId="27" xfId="0" applyNumberFormat="1" applyFont="1" applyBorder="1" applyAlignment="1">
      <alignment/>
    </xf>
    <xf numFmtId="37" fontId="5" fillId="0" borderId="21" xfId="0" applyNumberFormat="1" applyFont="1" applyBorder="1" applyAlignment="1" applyProtection="1">
      <alignment horizontal="right"/>
      <protection/>
    </xf>
    <xf numFmtId="37" fontId="5" fillId="0" borderId="51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>
      <alignment horizontal="right"/>
    </xf>
    <xf numFmtId="37" fontId="5" fillId="0" borderId="27" xfId="0" applyNumberFormat="1" applyFont="1" applyBorder="1" applyAlignment="1">
      <alignment horizontal="right"/>
    </xf>
    <xf numFmtId="37" fontId="5" fillId="0" borderId="44" xfId="0" applyNumberFormat="1" applyFont="1" applyBorder="1" applyAlignment="1">
      <alignment horizontal="right"/>
    </xf>
    <xf numFmtId="37" fontId="5" fillId="0" borderId="25" xfId="0" applyNumberFormat="1" applyFont="1" applyBorder="1" applyAlignment="1">
      <alignment horizontal="right"/>
    </xf>
    <xf numFmtId="39" fontId="5" fillId="0" borderId="13" xfId="0" applyNumberFormat="1" applyFont="1" applyBorder="1" applyAlignment="1">
      <alignment horizontal="right"/>
    </xf>
    <xf numFmtId="39" fontId="4" fillId="0" borderId="26" xfId="0" applyNumberFormat="1" applyFont="1" applyBorder="1" applyAlignment="1">
      <alignment horizontal="right"/>
    </xf>
    <xf numFmtId="39" fontId="5" fillId="0" borderId="26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58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5" fontId="8" fillId="34" borderId="11" xfId="0" applyNumberFormat="1" applyFont="1" applyFill="1" applyBorder="1" applyAlignment="1" applyProtection="1">
      <alignment horizontal="center"/>
      <protection locked="0"/>
    </xf>
    <xf numFmtId="3" fontId="8" fillId="34" borderId="13" xfId="0" applyNumberFormat="1" applyFont="1" applyFill="1" applyBorder="1" applyAlignment="1" applyProtection="1">
      <alignment horizontal="center"/>
      <protection locked="0"/>
    </xf>
    <xf numFmtId="3" fontId="8" fillId="34" borderId="23" xfId="0" applyNumberFormat="1" applyFont="1" applyFill="1" applyBorder="1" applyAlignment="1" applyProtection="1">
      <alignment horizontal="center"/>
      <protection locked="0"/>
    </xf>
    <xf numFmtId="5" fontId="8" fillId="34" borderId="65" xfId="0" applyNumberFormat="1" applyFont="1" applyFill="1" applyBorder="1" applyAlignment="1" applyProtection="1">
      <alignment horizontal="center"/>
      <protection locked="0"/>
    </xf>
    <xf numFmtId="3" fontId="8" fillId="34" borderId="10" xfId="0" applyNumberFormat="1" applyFont="1" applyFill="1" applyBorder="1" applyAlignment="1" applyProtection="1">
      <alignment horizontal="center"/>
      <protection locked="0"/>
    </xf>
    <xf numFmtId="3" fontId="8" fillId="34" borderId="12" xfId="0" applyNumberFormat="1" applyFont="1" applyFill="1" applyBorder="1" applyAlignment="1" applyProtection="1">
      <alignment horizontal="center"/>
      <protection locked="0"/>
    </xf>
    <xf numFmtId="3" fontId="8" fillId="34" borderId="14" xfId="0" applyNumberFormat="1" applyFont="1" applyFill="1" applyBorder="1" applyAlignment="1" applyProtection="1">
      <alignment horizontal="center"/>
      <protection locked="0"/>
    </xf>
    <xf numFmtId="3" fontId="8" fillId="34" borderId="22" xfId="0" applyNumberFormat="1" applyFont="1" applyFill="1" applyBorder="1" applyAlignment="1" applyProtection="1">
      <alignment horizontal="center"/>
      <protection locked="0"/>
    </xf>
    <xf numFmtId="7" fontId="8" fillId="34" borderId="24" xfId="0" applyNumberFormat="1" applyFont="1" applyFill="1" applyBorder="1" applyAlignment="1" applyProtection="1">
      <alignment horizontal="center"/>
      <protection locked="0"/>
    </xf>
    <xf numFmtId="3" fontId="8" fillId="34" borderId="31" xfId="11" applyNumberFormat="1" applyFont="1" applyFill="1" applyBorder="1" applyAlignment="1" applyProtection="1">
      <alignment horizontal="center" vertical="top" wrapText="1"/>
      <protection locked="0"/>
    </xf>
    <xf numFmtId="3" fontId="8" fillId="34" borderId="15" xfId="0" applyNumberFormat="1" applyFont="1" applyFill="1" applyBorder="1" applyAlignment="1" applyProtection="1">
      <alignment horizontal="center"/>
      <protection locked="0"/>
    </xf>
    <xf numFmtId="3" fontId="8" fillId="34" borderId="16" xfId="0" applyNumberFormat="1" applyFont="1" applyFill="1" applyBorder="1" applyAlignment="1" applyProtection="1">
      <alignment horizontal="center"/>
      <protection locked="0"/>
    </xf>
    <xf numFmtId="2" fontId="8" fillId="34" borderId="25" xfId="0" applyNumberFormat="1" applyFont="1" applyFill="1" applyBorder="1" applyAlignment="1" applyProtection="1">
      <alignment horizontal="center"/>
      <protection locked="0"/>
    </xf>
    <xf numFmtId="2" fontId="8" fillId="34" borderId="66" xfId="0" applyNumberFormat="1" applyFont="1" applyFill="1" applyBorder="1" applyAlignment="1" applyProtection="1">
      <alignment horizontal="center"/>
      <protection locked="0"/>
    </xf>
    <xf numFmtId="5" fontId="8" fillId="34" borderId="24" xfId="0" applyNumberFormat="1" applyFont="1" applyFill="1" applyBorder="1" applyAlignment="1" applyProtection="1">
      <alignment horizontal="center"/>
      <protection locked="0"/>
    </xf>
    <xf numFmtId="3" fontId="8" fillId="34" borderId="25" xfId="0" applyNumberFormat="1" applyFont="1" applyFill="1" applyBorder="1" applyAlignment="1" applyProtection="1">
      <alignment horizontal="center"/>
      <protection locked="0"/>
    </xf>
    <xf numFmtId="3" fontId="8" fillId="34" borderId="66" xfId="0" applyNumberFormat="1" applyFont="1" applyFill="1" applyBorder="1" applyAlignment="1" applyProtection="1">
      <alignment horizontal="center"/>
      <protection locked="0"/>
    </xf>
    <xf numFmtId="5" fontId="8" fillId="34" borderId="25" xfId="0" applyNumberFormat="1" applyFont="1" applyFill="1" applyBorder="1" applyAlignment="1" applyProtection="1">
      <alignment horizontal="center"/>
      <protection locked="0"/>
    </xf>
    <xf numFmtId="3" fontId="8" fillId="34" borderId="31" xfId="11" applyNumberFormat="1" applyFont="1" applyFill="1" applyBorder="1" applyAlignment="1" applyProtection="1">
      <alignment horizontal="center" vertical="top" wrapText="1"/>
      <protection locked="0"/>
    </xf>
    <xf numFmtId="3" fontId="8" fillId="34" borderId="16" xfId="0" applyNumberFormat="1" applyFont="1" applyFill="1" applyBorder="1" applyAlignment="1" applyProtection="1">
      <alignment horizontal="center"/>
      <protection locked="0"/>
    </xf>
    <xf numFmtId="5" fontId="8" fillId="34" borderId="24" xfId="0" applyNumberFormat="1" applyFont="1" applyFill="1" applyBorder="1" applyAlignment="1" applyProtection="1">
      <alignment horizontal="center"/>
      <protection locked="0"/>
    </xf>
    <xf numFmtId="3" fontId="8" fillId="34" borderId="66" xfId="0" applyNumberFormat="1" applyFont="1" applyFill="1" applyBorder="1" applyAlignment="1" applyProtection="1">
      <alignment horizontal="center"/>
      <protection locked="0"/>
    </xf>
    <xf numFmtId="3" fontId="8" fillId="34" borderId="15" xfId="0" applyNumberFormat="1" applyFont="1" applyFill="1" applyBorder="1" applyAlignment="1" applyProtection="1">
      <alignment horizontal="center"/>
      <protection locked="0"/>
    </xf>
    <xf numFmtId="3" fontId="8" fillId="34" borderId="25" xfId="0" applyNumberFormat="1" applyFont="1" applyFill="1" applyBorder="1" applyAlignment="1" applyProtection="1">
      <alignment horizontal="center"/>
      <protection locked="0"/>
    </xf>
    <xf numFmtId="3" fontId="8" fillId="34" borderId="13" xfId="0" applyNumberFormat="1" applyFont="1" applyFill="1" applyBorder="1" applyAlignment="1" applyProtection="1">
      <alignment horizontal="center"/>
      <protection locked="0"/>
    </xf>
    <xf numFmtId="10" fontId="8" fillId="34" borderId="49" xfId="0" applyNumberFormat="1" applyFont="1" applyFill="1" applyBorder="1" applyAlignment="1" applyProtection="1">
      <alignment horizontal="center"/>
      <protection locked="0"/>
    </xf>
    <xf numFmtId="10" fontId="8" fillId="34" borderId="58" xfId="0" applyNumberFormat="1" applyFont="1" applyFill="1" applyBorder="1" applyAlignment="1" applyProtection="1">
      <alignment horizontal="center"/>
      <protection locked="0"/>
    </xf>
    <xf numFmtId="3" fontId="8" fillId="34" borderId="20" xfId="0" applyNumberFormat="1" applyFont="1" applyFill="1" applyBorder="1" applyAlignment="1" applyProtection="1">
      <alignment horizontal="center"/>
      <protection locked="0"/>
    </xf>
    <xf numFmtId="9" fontId="8" fillId="34" borderId="21" xfId="0" applyNumberFormat="1" applyFont="1" applyFill="1" applyBorder="1" applyAlignment="1" applyProtection="1">
      <alignment horizontal="center"/>
      <protection locked="0"/>
    </xf>
    <xf numFmtId="3" fontId="8" fillId="34" borderId="27" xfId="0" applyNumberFormat="1" applyFont="1" applyFill="1" applyBorder="1" applyAlignment="1" applyProtection="1">
      <alignment horizontal="center"/>
      <protection locked="0"/>
    </xf>
    <xf numFmtId="7" fontId="8" fillId="34" borderId="27" xfId="0" applyNumberFormat="1" applyFont="1" applyFill="1" applyBorder="1" applyAlignment="1" applyProtection="1">
      <alignment horizontal="center"/>
      <protection locked="0"/>
    </xf>
    <xf numFmtId="10" fontId="8" fillId="34" borderId="27" xfId="0" applyNumberFormat="1" applyFont="1" applyFill="1" applyBorder="1" applyAlignment="1" applyProtection="1">
      <alignment horizontal="center"/>
      <protection locked="0"/>
    </xf>
    <xf numFmtId="9" fontId="8" fillId="34" borderId="27" xfId="0" applyNumberFormat="1" applyFont="1" applyFill="1" applyBorder="1" applyAlignment="1" applyProtection="1">
      <alignment horizontal="center"/>
      <protection locked="0"/>
    </xf>
    <xf numFmtId="1" fontId="8" fillId="34" borderId="27" xfId="0" applyNumberFormat="1" applyFont="1" applyFill="1" applyBorder="1" applyAlignment="1" applyProtection="1">
      <alignment horizontal="center"/>
      <protection locked="0"/>
    </xf>
    <xf numFmtId="7" fontId="8" fillId="34" borderId="33" xfId="0" applyNumberFormat="1" applyFont="1" applyFill="1" applyBorder="1" applyAlignment="1" applyProtection="1">
      <alignment horizontal="center"/>
      <protection locked="0"/>
    </xf>
    <xf numFmtId="2" fontId="8" fillId="34" borderId="27" xfId="0" applyNumberFormat="1" applyFont="1" applyFill="1" applyBorder="1" applyAlignment="1" applyProtection="1">
      <alignment horizontal="center"/>
      <protection locked="0"/>
    </xf>
    <xf numFmtId="5" fontId="8" fillId="34" borderId="27" xfId="0" applyNumberFormat="1" applyFont="1" applyFill="1" applyBorder="1" applyAlignment="1" applyProtection="1">
      <alignment horizontal="center"/>
      <protection locked="0"/>
    </xf>
    <xf numFmtId="7" fontId="8" fillId="34" borderId="40" xfId="0" applyNumberFormat="1" applyFont="1" applyFill="1" applyBorder="1" applyAlignment="1" applyProtection="1">
      <alignment horizontal="center"/>
      <protection locked="0"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8" fillId="34" borderId="21" xfId="0" applyFont="1" applyFill="1" applyBorder="1" applyAlignment="1" applyProtection="1">
      <alignment horizontal="center"/>
      <protection/>
    </xf>
    <xf numFmtId="10" fontId="8" fillId="34" borderId="13" xfId="0" applyNumberFormat="1" applyFont="1" applyFill="1" applyBorder="1" applyAlignment="1" applyProtection="1">
      <alignment horizontal="center"/>
      <protection locked="0"/>
    </xf>
    <xf numFmtId="9" fontId="8" fillId="34" borderId="13" xfId="0" applyNumberFormat="1" applyFont="1" applyFill="1" applyBorder="1" applyAlignment="1" applyProtection="1">
      <alignment horizontal="center"/>
      <protection locked="0"/>
    </xf>
    <xf numFmtId="5" fontId="8" fillId="34" borderId="13" xfId="0" applyNumberFormat="1" applyFont="1" applyFill="1" applyBorder="1" applyAlignment="1" applyProtection="1">
      <alignment horizontal="center"/>
      <protection locked="0"/>
    </xf>
    <xf numFmtId="9" fontId="8" fillId="34" borderId="23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8" fontId="8" fillId="34" borderId="40" xfId="0" applyNumberFormat="1" applyFont="1" applyFill="1" applyBorder="1" applyAlignment="1" applyProtection="1">
      <alignment horizontal="center"/>
      <protection locked="0"/>
    </xf>
    <xf numFmtId="8" fontId="8" fillId="34" borderId="27" xfId="0" applyNumberFormat="1" applyFont="1" applyFill="1" applyBorder="1" applyAlignment="1" applyProtection="1">
      <alignment horizontal="center"/>
      <protection locked="0"/>
    </xf>
    <xf numFmtId="10" fontId="8" fillId="34" borderId="33" xfId="0" applyNumberFormat="1" applyFont="1" applyFill="1" applyBorder="1" applyAlignment="1" applyProtection="1">
      <alignment horizontal="center"/>
      <protection locked="0"/>
    </xf>
    <xf numFmtId="8" fontId="8" fillId="34" borderId="33" xfId="0" applyNumberFormat="1" applyFont="1" applyFill="1" applyBorder="1" applyAlignment="1" applyProtection="1">
      <alignment horizontal="center"/>
      <protection locked="0"/>
    </xf>
    <xf numFmtId="9" fontId="8" fillId="34" borderId="40" xfId="0" applyNumberFormat="1" applyFont="1" applyFill="1" applyBorder="1" applyAlignment="1" applyProtection="1">
      <alignment horizontal="center"/>
      <protection locked="0"/>
    </xf>
    <xf numFmtId="10" fontId="8" fillId="34" borderId="45" xfId="0" applyNumberFormat="1" applyFont="1" applyFill="1" applyBorder="1" applyAlignment="1" applyProtection="1">
      <alignment horizontal="center"/>
      <protection locked="0"/>
    </xf>
    <xf numFmtId="0" fontId="10" fillId="34" borderId="13" xfId="0" applyNumberFormat="1" applyFont="1" applyFill="1" applyBorder="1" applyAlignment="1" applyProtection="1">
      <alignment horizontal="center"/>
      <protection locked="0"/>
    </xf>
    <xf numFmtId="1" fontId="10" fillId="34" borderId="35" xfId="0" applyNumberFormat="1" applyFont="1" applyFill="1" applyBorder="1" applyAlignment="1" applyProtection="1">
      <alignment horizontal="center"/>
      <protection locked="0"/>
    </xf>
    <xf numFmtId="1" fontId="10" fillId="34" borderId="13" xfId="0" applyNumberFormat="1" applyFont="1" applyFill="1" applyBorder="1" applyAlignment="1" applyProtection="1">
      <alignment horizontal="center"/>
      <protection locked="0"/>
    </xf>
    <xf numFmtId="1" fontId="10" fillId="34" borderId="23" xfId="0" applyNumberFormat="1" applyFont="1" applyFill="1" applyBorder="1" applyAlignment="1" applyProtection="1">
      <alignment horizontal="center"/>
      <protection locked="0"/>
    </xf>
    <xf numFmtId="10" fontId="8" fillId="34" borderId="40" xfId="0" applyNumberFormat="1" applyFont="1" applyFill="1" applyBorder="1" applyAlignment="1" applyProtection="1">
      <alignment horizontal="center"/>
      <protection locked="0"/>
    </xf>
    <xf numFmtId="7" fontId="5" fillId="0" borderId="54" xfId="0" applyNumberFormat="1" applyFont="1" applyBorder="1" applyAlignment="1" applyProtection="1">
      <alignment horizontal="left"/>
      <protection/>
    </xf>
  </cellXfs>
  <cellStyles count="46">
    <cellStyle name="Normal" xfId="0"/>
    <cellStyle name="Style 1" xfId="1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O281"/>
  <sheetViews>
    <sheetView tabSelected="1" defaultGridColor="0" zoomScalePageLayoutView="0" colorId="8" workbookViewId="0" topLeftCell="G77">
      <selection activeCell="H93" sqref="H93"/>
    </sheetView>
  </sheetViews>
  <sheetFormatPr defaultColWidth="10.75390625" defaultRowHeight="12.75"/>
  <cols>
    <col min="1" max="1" width="10.875" style="3" customWidth="1"/>
    <col min="2" max="2" width="49.625" style="126" customWidth="1"/>
    <col min="3" max="3" width="14.25390625" style="401" customWidth="1"/>
    <col min="4" max="4" width="10.625" style="126" customWidth="1"/>
    <col min="5" max="5" width="12.00390625" style="126" customWidth="1"/>
    <col min="6" max="6" width="6.625" style="3" customWidth="1"/>
    <col min="7" max="7" width="47.125" style="3" customWidth="1"/>
    <col min="8" max="8" width="13.25390625" style="401" customWidth="1"/>
    <col min="9" max="9" width="13.625" style="401" customWidth="1"/>
    <col min="10" max="10" width="3.125" style="202" customWidth="1"/>
    <col min="11" max="11" width="36.875" style="3" customWidth="1"/>
    <col min="12" max="12" width="15.125" style="3" customWidth="1"/>
    <col min="13" max="13" width="12.875" style="3" customWidth="1"/>
    <col min="14" max="14" width="12.00390625" style="3" customWidth="1"/>
    <col min="15" max="15" width="12.25390625" style="3" customWidth="1"/>
    <col min="16" max="16" width="14.00390625" style="3" customWidth="1"/>
    <col min="17" max="17" width="13.625" style="3" customWidth="1"/>
    <col min="18" max="18" width="4.00390625" style="3" customWidth="1"/>
    <col min="19" max="19" width="40.375" style="3" customWidth="1"/>
    <col min="20" max="20" width="15.25390625" style="3" customWidth="1"/>
    <col min="21" max="21" width="9.125" style="169" hidden="1" customWidth="1"/>
    <col min="22" max="22" width="8.625" style="169" hidden="1" customWidth="1"/>
    <col min="23" max="23" width="10.25390625" style="169" hidden="1" customWidth="1"/>
    <col min="24" max="24" width="10.375" style="169" hidden="1" customWidth="1"/>
    <col min="25" max="25" width="12.00390625" style="3" customWidth="1"/>
    <col min="26" max="26" width="9.125" style="3" hidden="1" customWidth="1"/>
    <col min="27" max="27" width="8.625" style="3" hidden="1" customWidth="1"/>
    <col min="28" max="28" width="10.25390625" style="3" hidden="1" customWidth="1"/>
    <col min="29" max="29" width="10.375" style="3" hidden="1" customWidth="1"/>
    <col min="30" max="30" width="12.00390625" style="3" customWidth="1"/>
    <col min="31" max="31" width="9.125" style="3" hidden="1" customWidth="1"/>
    <col min="32" max="32" width="8.625" style="3" hidden="1" customWidth="1"/>
    <col min="33" max="33" width="10.25390625" style="3" hidden="1" customWidth="1"/>
    <col min="34" max="34" width="10.375" style="3" hidden="1" customWidth="1"/>
    <col min="35" max="35" width="12.00390625" style="3" customWidth="1"/>
    <col min="36" max="36" width="9.125" style="3" hidden="1" customWidth="1"/>
    <col min="37" max="37" width="8.625" style="3" hidden="1" customWidth="1"/>
    <col min="38" max="38" width="10.25390625" style="3" hidden="1" customWidth="1"/>
    <col min="39" max="39" width="10.375" style="3" hidden="1" customWidth="1"/>
    <col min="40" max="40" width="12.00390625" style="3" customWidth="1"/>
    <col min="41" max="41" width="9.125" style="3" hidden="1" customWidth="1"/>
    <col min="42" max="42" width="8.625" style="3" hidden="1" customWidth="1"/>
    <col min="43" max="43" width="10.25390625" style="3" hidden="1" customWidth="1"/>
    <col min="44" max="44" width="10.375" style="3" hidden="1" customWidth="1"/>
    <col min="45" max="45" width="43.625" style="3" customWidth="1"/>
    <col min="46" max="46" width="12.00390625" style="3" customWidth="1"/>
    <col min="47" max="47" width="9.125" style="3" hidden="1" customWidth="1"/>
    <col min="48" max="48" width="8.625" style="3" hidden="1" customWidth="1"/>
    <col min="49" max="49" width="10.25390625" style="3" hidden="1" customWidth="1"/>
    <col min="50" max="50" width="10.375" style="3" hidden="1" customWidth="1"/>
    <col min="51" max="51" width="12.00390625" style="3" customWidth="1"/>
    <col min="52" max="52" width="9.125" style="3" hidden="1" customWidth="1"/>
    <col min="53" max="53" width="8.625" style="3" hidden="1" customWidth="1"/>
    <col min="54" max="54" width="10.25390625" style="3" hidden="1" customWidth="1"/>
    <col min="55" max="55" width="10.375" style="3" hidden="1" customWidth="1"/>
    <col min="56" max="56" width="12.00390625" style="3" customWidth="1"/>
    <col min="57" max="57" width="9.125" style="3" hidden="1" customWidth="1"/>
    <col min="58" max="58" width="8.625" style="3" hidden="1" customWidth="1"/>
    <col min="59" max="59" width="10.25390625" style="3" hidden="1" customWidth="1"/>
    <col min="60" max="60" width="10.375" style="3" hidden="1" customWidth="1"/>
    <col min="61" max="61" width="12.00390625" style="3" customWidth="1"/>
    <col min="62" max="62" width="9.125" style="3" hidden="1" customWidth="1"/>
    <col min="63" max="63" width="8.625" style="3" hidden="1" customWidth="1"/>
    <col min="64" max="64" width="10.25390625" style="3" hidden="1" customWidth="1"/>
    <col min="65" max="65" width="10.375" style="3" hidden="1" customWidth="1"/>
    <col min="66" max="66" width="12.00390625" style="3" customWidth="1"/>
    <col min="67" max="67" width="9.125" style="3" hidden="1" customWidth="1"/>
    <col min="68" max="68" width="8.625" style="3" hidden="1" customWidth="1"/>
    <col min="69" max="69" width="10.25390625" style="3" hidden="1" customWidth="1"/>
    <col min="70" max="70" width="10.375" style="3" hidden="1" customWidth="1"/>
    <col min="71" max="71" width="43.625" style="3" customWidth="1"/>
    <col min="72" max="72" width="12.00390625" style="3" customWidth="1"/>
    <col min="73" max="73" width="9.125" style="3" hidden="1" customWidth="1"/>
    <col min="74" max="74" width="8.625" style="3" hidden="1" customWidth="1"/>
    <col min="75" max="75" width="10.25390625" style="3" hidden="1" customWidth="1"/>
    <col min="76" max="76" width="10.375" style="3" hidden="1" customWidth="1"/>
    <col min="77" max="77" width="12.00390625" style="3" customWidth="1"/>
    <col min="78" max="78" width="9.125" style="3" hidden="1" customWidth="1"/>
    <col min="79" max="79" width="8.625" style="3" hidden="1" customWidth="1"/>
    <col min="80" max="80" width="10.25390625" style="3" hidden="1" customWidth="1"/>
    <col min="81" max="81" width="10.375" style="3" hidden="1" customWidth="1"/>
    <col min="82" max="82" width="12.00390625" style="3" customWidth="1"/>
    <col min="83" max="83" width="9.125" style="3" hidden="1" customWidth="1"/>
    <col min="84" max="84" width="8.625" style="3" hidden="1" customWidth="1"/>
    <col min="85" max="85" width="10.25390625" style="3" hidden="1" customWidth="1"/>
    <col min="86" max="86" width="10.375" style="3" hidden="1" customWidth="1"/>
    <col min="87" max="87" width="12.00390625" style="3" customWidth="1"/>
    <col min="88" max="88" width="9.125" style="3" hidden="1" customWidth="1"/>
    <col min="89" max="89" width="8.625" style="3" hidden="1" customWidth="1"/>
    <col min="90" max="90" width="10.25390625" style="3" hidden="1" customWidth="1"/>
    <col min="91" max="91" width="10.375" style="3" hidden="1" customWidth="1"/>
    <col min="92" max="92" width="12.00390625" style="3" customWidth="1"/>
    <col min="93" max="93" width="9.125" style="3" hidden="1" customWidth="1"/>
    <col min="94" max="94" width="8.625" style="3" hidden="1" customWidth="1"/>
    <col min="95" max="95" width="10.25390625" style="3" hidden="1" customWidth="1"/>
    <col min="96" max="96" width="10.375" style="3" hidden="1" customWidth="1"/>
    <col min="97" max="97" width="43.625" style="3" customWidth="1"/>
    <col min="98" max="98" width="12.00390625" style="3" customWidth="1"/>
    <col min="99" max="99" width="9.125" style="3" hidden="1" customWidth="1"/>
    <col min="100" max="100" width="8.625" style="3" hidden="1" customWidth="1"/>
    <col min="101" max="101" width="10.25390625" style="3" hidden="1" customWidth="1"/>
    <col min="102" max="102" width="10.375" style="3" hidden="1" customWidth="1"/>
    <col min="103" max="103" width="12.00390625" style="3" customWidth="1"/>
    <col min="104" max="104" width="9.125" style="3" hidden="1" customWidth="1"/>
    <col min="105" max="105" width="8.625" style="3" hidden="1" customWidth="1"/>
    <col min="106" max="106" width="10.25390625" style="3" hidden="1" customWidth="1"/>
    <col min="107" max="107" width="10.375" style="3" hidden="1" customWidth="1"/>
    <col min="108" max="108" width="12.00390625" style="3" customWidth="1"/>
    <col min="109" max="109" width="9.125" style="3" hidden="1" customWidth="1"/>
    <col min="110" max="110" width="8.625" style="3" hidden="1" customWidth="1"/>
    <col min="111" max="111" width="10.25390625" style="3" hidden="1" customWidth="1"/>
    <col min="112" max="112" width="10.375" style="3" hidden="1" customWidth="1"/>
    <col min="113" max="113" width="12.00390625" style="3" customWidth="1"/>
    <col min="114" max="114" width="9.125" style="3" hidden="1" customWidth="1"/>
    <col min="115" max="115" width="8.625" style="3" hidden="1" customWidth="1"/>
    <col min="116" max="116" width="10.25390625" style="3" hidden="1" customWidth="1"/>
    <col min="117" max="117" width="10.375" style="3" hidden="1" customWidth="1"/>
    <col min="118" max="118" width="12.00390625" style="3" customWidth="1"/>
    <col min="119" max="119" width="9.125" style="3" hidden="1" customWidth="1"/>
    <col min="120" max="120" width="8.625" style="3" hidden="1" customWidth="1"/>
    <col min="121" max="121" width="10.25390625" style="3" hidden="1" customWidth="1"/>
    <col min="122" max="122" width="10.375" style="3" hidden="1" customWidth="1"/>
    <col min="123" max="123" width="7.375" style="3" customWidth="1"/>
    <col min="124" max="124" width="12.125" style="3" customWidth="1"/>
    <col min="125" max="126" width="13.125" style="3" customWidth="1"/>
    <col min="127" max="127" width="12.375" style="3" customWidth="1"/>
    <col min="128" max="128" width="12.00390625" style="3" customWidth="1"/>
    <col min="129" max="129" width="11.00390625" style="3" customWidth="1"/>
    <col min="130" max="130" width="14.375" style="3" customWidth="1"/>
    <col min="131" max="133" width="14.625" style="3" customWidth="1"/>
    <col min="134" max="136" width="12.75390625" style="3" customWidth="1"/>
    <col min="137" max="137" width="10.75390625" style="3" customWidth="1"/>
    <col min="138" max="138" width="11.625" style="3" customWidth="1"/>
    <col min="139" max="139" width="10.375" style="3" customWidth="1"/>
    <col min="140" max="140" width="13.00390625" style="3" customWidth="1"/>
    <col min="141" max="141" width="10.25390625" style="3" customWidth="1"/>
    <col min="142" max="142" width="13.00390625" style="3" customWidth="1"/>
    <col min="143" max="143" width="12.875" style="3" customWidth="1"/>
    <col min="144" max="144" width="13.00390625" style="3" customWidth="1"/>
    <col min="145" max="145" width="12.875" style="3" customWidth="1"/>
    <col min="146" max="146" width="13.00390625" style="3" customWidth="1"/>
    <col min="147" max="147" width="12.875" style="3" customWidth="1"/>
    <col min="148" max="148" width="13.00390625" style="3" customWidth="1"/>
    <col min="149" max="149" width="10.125" style="3" customWidth="1"/>
    <col min="150" max="150" width="13.00390625" style="3" customWidth="1"/>
    <col min="151" max="151" width="10.375" style="3" customWidth="1"/>
    <col min="152" max="152" width="13.00390625" style="3" customWidth="1"/>
    <col min="153" max="153" width="10.25390625" style="3" customWidth="1"/>
    <col min="154" max="154" width="13.00390625" style="3" customWidth="1"/>
    <col min="155" max="159" width="9.25390625" style="3" customWidth="1"/>
    <col min="160" max="162" width="10.25390625" style="3" customWidth="1"/>
    <col min="163" max="163" width="10.75390625" style="3" customWidth="1"/>
    <col min="164" max="164" width="12.25390625" style="3" customWidth="1"/>
    <col min="165" max="165" width="15.625" style="3" customWidth="1"/>
    <col min="166" max="167" width="14.375" style="3" customWidth="1"/>
    <col min="168" max="168" width="14.625" style="3" customWidth="1"/>
    <col min="169" max="169" width="14.375" style="3" customWidth="1"/>
    <col min="170" max="171" width="14.625" style="3" customWidth="1"/>
    <col min="172" max="172" width="15.625" style="3" customWidth="1"/>
    <col min="173" max="173" width="14.625" style="3" customWidth="1"/>
    <col min="174" max="174" width="14.375" style="3" customWidth="1"/>
    <col min="175" max="175" width="14.625" style="3" customWidth="1"/>
    <col min="176" max="176" width="15.625" style="3" customWidth="1"/>
    <col min="177" max="177" width="14.375" style="3" customWidth="1"/>
    <col min="178" max="178" width="14.625" style="3" customWidth="1"/>
    <col min="179" max="179" width="15.625" style="3" customWidth="1"/>
    <col min="180" max="181" width="14.375" style="3" customWidth="1"/>
    <col min="182" max="182" width="14.625" style="3" customWidth="1"/>
    <col min="183" max="186" width="17.125" style="3" customWidth="1"/>
    <col min="187" max="190" width="18.25390625" style="3" customWidth="1"/>
    <col min="191" max="194" width="17.75390625" style="3" customWidth="1"/>
    <col min="195" max="195" width="14.375" style="3" customWidth="1"/>
    <col min="196" max="196" width="14.625" style="3" customWidth="1"/>
    <col min="197" max="197" width="15.625" style="3" customWidth="1"/>
    <col min="198" max="198" width="14.625" style="3" customWidth="1"/>
    <col min="199" max="199" width="22.75390625" style="3" customWidth="1"/>
    <col min="200" max="200" width="15.625" style="3" customWidth="1"/>
    <col min="201" max="202" width="14.375" style="3" customWidth="1"/>
    <col min="203" max="203" width="14.625" style="3" customWidth="1"/>
    <col min="204" max="204" width="15.625" style="3" customWidth="1"/>
    <col min="205" max="205" width="14.375" style="3" customWidth="1"/>
    <col min="206" max="206" width="14.625" style="3" customWidth="1"/>
    <col min="207" max="207" width="15.625" style="3" customWidth="1"/>
    <col min="208" max="209" width="14.375" style="3" customWidth="1"/>
    <col min="210" max="210" width="14.625" style="3" customWidth="1"/>
    <col min="211" max="211" width="15.625" style="3" customWidth="1"/>
    <col min="212" max="212" width="14.375" style="3" customWidth="1"/>
    <col min="213" max="213" width="14.625" style="3" customWidth="1"/>
    <col min="214" max="214" width="15.625" style="3" customWidth="1"/>
    <col min="215" max="216" width="14.375" style="3" customWidth="1"/>
    <col min="217" max="217" width="14.625" style="3" customWidth="1"/>
    <col min="218" max="218" width="15.625" style="3" customWidth="1"/>
    <col min="219" max="219" width="14.375" style="3" customWidth="1"/>
    <col min="220" max="220" width="14.625" style="3" customWidth="1"/>
    <col min="221" max="221" width="15.625" style="3" customWidth="1"/>
    <col min="222" max="223" width="14.375" style="3" customWidth="1"/>
    <col min="224" max="224" width="14.625" style="3" customWidth="1"/>
    <col min="225" max="225" width="15.625" style="3" customWidth="1"/>
    <col min="226" max="226" width="14.375" style="3" customWidth="1"/>
    <col min="227" max="228" width="14.625" style="3" customWidth="1"/>
    <col min="229" max="229" width="14.375" style="3" customWidth="1"/>
    <col min="230" max="230" width="13.00390625" style="3" customWidth="1"/>
    <col min="231" max="231" width="14.625" style="3" customWidth="1"/>
    <col min="232" max="232" width="15.625" style="3" customWidth="1"/>
    <col min="233" max="234" width="14.375" style="3" customWidth="1"/>
    <col min="235" max="235" width="14.625" style="3" customWidth="1"/>
    <col min="236" max="236" width="13.25390625" style="3" customWidth="1"/>
    <col min="237" max="237" width="13.00390625" style="3" customWidth="1"/>
    <col min="238" max="238" width="14.625" style="3" customWidth="1"/>
    <col min="239" max="239" width="15.625" style="3" customWidth="1"/>
    <col min="240" max="241" width="14.375" style="3" customWidth="1"/>
    <col min="242" max="242" width="14.625" style="3" customWidth="1"/>
    <col min="243" max="243" width="13.25390625" style="3" customWidth="1"/>
    <col min="244" max="244" width="13.00390625" style="3" customWidth="1"/>
    <col min="245" max="245" width="14.625" style="3" customWidth="1"/>
    <col min="246" max="247" width="14.375" style="3" customWidth="1"/>
    <col min="248" max="248" width="12.375" style="3" customWidth="1"/>
    <col min="249" max="249" width="12.875" style="3" customWidth="1"/>
    <col min="250" max="16384" width="10.75390625" style="3" customWidth="1"/>
  </cols>
  <sheetData>
    <row r="1" spans="7:132" ht="15.75" hidden="1">
      <c r="G1" s="169" t="s">
        <v>0</v>
      </c>
      <c r="I1" s="430">
        <f>($I$62+$I$63)/($I$64*(1-$I$65))</f>
        <v>12.925271739130434</v>
      </c>
      <c r="S1" s="2" t="s">
        <v>1</v>
      </c>
      <c r="T1" s="96">
        <f>($I$7*T2)/100</f>
        <v>231600</v>
      </c>
      <c r="U1" s="45"/>
      <c r="V1" s="45"/>
      <c r="W1" s="45"/>
      <c r="X1" s="45"/>
      <c r="Y1" s="96">
        <f>($I$7*Y2)/100</f>
        <v>233916</v>
      </c>
      <c r="Z1" s="96"/>
      <c r="AA1" s="96"/>
      <c r="AB1" s="96"/>
      <c r="AC1" s="96"/>
      <c r="AD1" s="96">
        <f>($I$7*AD2)/100</f>
        <v>236255.16</v>
      </c>
      <c r="AE1" s="96"/>
      <c r="AF1" s="96"/>
      <c r="AG1" s="96"/>
      <c r="AH1" s="96"/>
      <c r="AI1" s="96">
        <f>($I$7*AI2)/100</f>
        <v>238617.7116</v>
      </c>
      <c r="AJ1" s="96"/>
      <c r="AK1" s="96"/>
      <c r="AL1" s="96"/>
      <c r="AM1" s="96"/>
      <c r="AN1" s="96">
        <f>($I$7*AN2)/100</f>
        <v>241003.88871600002</v>
      </c>
      <c r="AO1" s="96"/>
      <c r="AP1" s="96"/>
      <c r="AQ1" s="96"/>
      <c r="AR1" s="96"/>
      <c r="AT1" s="96">
        <f>($I$7*AT2)/100</f>
        <v>243413.92760316</v>
      </c>
      <c r="AU1" s="96"/>
      <c r="AV1" s="96"/>
      <c r="AW1" s="96"/>
      <c r="AX1" s="96"/>
      <c r="AY1" s="96">
        <f>($I$7*AY2)/100</f>
        <v>245848.06687919158</v>
      </c>
      <c r="AZ1" s="96"/>
      <c r="BA1" s="96"/>
      <c r="BB1" s="96"/>
      <c r="BC1" s="96"/>
      <c r="BD1" s="96">
        <f>($I$7*BD2)/100</f>
        <v>248306.54754798353</v>
      </c>
      <c r="BE1" s="96"/>
      <c r="BF1" s="96"/>
      <c r="BG1" s="96"/>
      <c r="BH1" s="96"/>
      <c r="BI1" s="96">
        <f>($I$7*BI2)/100</f>
        <v>250789.61302346337</v>
      </c>
      <c r="BJ1" s="96"/>
      <c r="BK1" s="96"/>
      <c r="BL1" s="96"/>
      <c r="BM1" s="96"/>
      <c r="BN1" s="96">
        <f>($I$7*BN2)/100</f>
        <v>253297.509153698</v>
      </c>
      <c r="BO1" s="96"/>
      <c r="BP1" s="96"/>
      <c r="BQ1" s="96"/>
      <c r="BR1" s="96"/>
      <c r="BS1" s="96"/>
      <c r="BT1" s="96">
        <f>($I$7*BT2)/100</f>
        <v>255830.48424523495</v>
      </c>
      <c r="BU1" s="96"/>
      <c r="BV1" s="96"/>
      <c r="BW1" s="96"/>
      <c r="BX1" s="96"/>
      <c r="BY1" s="96">
        <f>($I$7*BY2)/100</f>
        <v>258388.78908768727</v>
      </c>
      <c r="BZ1" s="96"/>
      <c r="CA1" s="96"/>
      <c r="CB1" s="96"/>
      <c r="CC1" s="96"/>
      <c r="CD1" s="96">
        <f>($I$7*CD2)/100</f>
        <v>260972.67697856415</v>
      </c>
      <c r="CE1" s="96"/>
      <c r="CF1" s="96"/>
      <c r="CG1" s="96"/>
      <c r="CH1" s="96"/>
      <c r="CI1" s="96">
        <f>($I$7*CI2)/100</f>
        <v>263582.4037483498</v>
      </c>
      <c r="CJ1" s="96"/>
      <c r="CK1" s="96"/>
      <c r="CL1" s="96"/>
      <c r="CM1" s="96"/>
      <c r="CN1" s="96">
        <f>($I$7*CN2)/100</f>
        <v>266218.22778583335</v>
      </c>
      <c r="CO1" s="96"/>
      <c r="CP1" s="96"/>
      <c r="CQ1" s="96"/>
      <c r="CR1" s="96"/>
      <c r="CS1" s="96"/>
      <c r="CT1" s="96">
        <f>($I$7*CT2)/100</f>
        <v>268880.41006369167</v>
      </c>
      <c r="CU1" s="96"/>
      <c r="CV1" s="96"/>
      <c r="CW1" s="96"/>
      <c r="CX1" s="96"/>
      <c r="CY1" s="96">
        <f>($I$7*CY2)/100</f>
        <v>271569.2141643286</v>
      </c>
      <c r="CZ1" s="96"/>
      <c r="DA1" s="96"/>
      <c r="DB1" s="96"/>
      <c r="DC1" s="96"/>
      <c r="DD1" s="96">
        <f>($I$7*DD2)/100</f>
        <v>274284.9063059719</v>
      </c>
      <c r="DE1" s="96"/>
      <c r="DF1" s="96"/>
      <c r="DG1" s="96"/>
      <c r="DH1" s="96"/>
      <c r="DI1" s="96">
        <f>($I$7*DI2)/100</f>
        <v>277027.7553690316</v>
      </c>
      <c r="DJ1" s="96"/>
      <c r="DK1" s="96"/>
      <c r="DL1" s="96"/>
      <c r="DM1" s="96"/>
      <c r="DN1" s="96">
        <f>($I$7*DN2)/100</f>
        <v>279798.03292272193</v>
      </c>
      <c r="DO1" s="96"/>
      <c r="DP1" s="96"/>
      <c r="DQ1" s="96"/>
      <c r="DR1" s="96"/>
      <c r="EA1" s="109"/>
      <c r="EB1" s="81"/>
    </row>
    <row r="2" spans="19:122" ht="15.75" hidden="1">
      <c r="S2" s="2" t="s">
        <v>2</v>
      </c>
      <c r="T2" s="96">
        <f>$I$10</f>
        <v>19300</v>
      </c>
      <c r="U2" s="45"/>
      <c r="V2" s="45"/>
      <c r="W2" s="45"/>
      <c r="X2" s="45"/>
      <c r="Y2" s="96">
        <f>IF($I$14="yes",T2+(T2*$I$15),T2)</f>
        <v>19493</v>
      </c>
      <c r="Z2" s="96"/>
      <c r="AA2" s="96"/>
      <c r="AB2" s="96"/>
      <c r="AC2" s="96"/>
      <c r="AD2" s="96">
        <f>IF($I$14="yes",Y2+(Y2*$I$15),Y2)</f>
        <v>19687.93</v>
      </c>
      <c r="AE2" s="96"/>
      <c r="AF2" s="96"/>
      <c r="AG2" s="96"/>
      <c r="AH2" s="96"/>
      <c r="AI2" s="96">
        <f>IF($I$14="yes",AD2+(AD2*$I$15),AD2)</f>
        <v>19884.8093</v>
      </c>
      <c r="AJ2" s="96"/>
      <c r="AK2" s="96"/>
      <c r="AL2" s="96"/>
      <c r="AM2" s="96"/>
      <c r="AN2" s="96">
        <f>IF($I$14="yes",AI2+(AI2*$I$15),AI2)</f>
        <v>20083.657393</v>
      </c>
      <c r="AO2" s="96"/>
      <c r="AP2" s="96"/>
      <c r="AQ2" s="96"/>
      <c r="AR2" s="96"/>
      <c r="AT2" s="96">
        <f>IF($I$14="yes",AN2+(AN2*$I$15),AN2)</f>
        <v>20284.49396693</v>
      </c>
      <c r="AU2" s="96"/>
      <c r="AV2" s="96"/>
      <c r="AW2" s="96"/>
      <c r="AX2" s="96"/>
      <c r="AY2" s="96">
        <f>IF($I$14="yes",AT2+(AT2*$I$15),AT2)</f>
        <v>20487.3389065993</v>
      </c>
      <c r="AZ2" s="96"/>
      <c r="BA2" s="96"/>
      <c r="BB2" s="96"/>
      <c r="BC2" s="96"/>
      <c r="BD2" s="96">
        <f>IF($I$14="yes",AY2+(AY2*$I$15),AY2)</f>
        <v>20692.212295665293</v>
      </c>
      <c r="BE2" s="96"/>
      <c r="BF2" s="96"/>
      <c r="BG2" s="96"/>
      <c r="BH2" s="96"/>
      <c r="BI2" s="96">
        <f>IF($I$14="yes",BD2+(BD2*$I$15),BD2)</f>
        <v>20899.134418621947</v>
      </c>
      <c r="BJ2" s="96"/>
      <c r="BK2" s="96"/>
      <c r="BL2" s="96"/>
      <c r="BM2" s="96"/>
      <c r="BN2" s="96">
        <f>IF($I$14="yes",BI2+(BI2*$I$15),BI2)</f>
        <v>21108.125762808166</v>
      </c>
      <c r="BO2" s="96"/>
      <c r="BP2" s="96"/>
      <c r="BQ2" s="96"/>
      <c r="BR2" s="96"/>
      <c r="BS2" s="96"/>
      <c r="BT2" s="96">
        <f>IF($I$14="yes",BN2+(BN2*$I$15),BN2)</f>
        <v>21319.207020436246</v>
      </c>
      <c r="BU2" s="96"/>
      <c r="BV2" s="96"/>
      <c r="BW2" s="96"/>
      <c r="BX2" s="96"/>
      <c r="BY2" s="96">
        <f>IF($I$14="yes",BT2+(BT2*$I$15),BT2)</f>
        <v>21532.399090640607</v>
      </c>
      <c r="BZ2" s="96"/>
      <c r="CA2" s="96"/>
      <c r="CB2" s="96"/>
      <c r="CC2" s="96"/>
      <c r="CD2" s="96">
        <f>IF($I$14="yes",BY2+(BY2*$I$15),BY2)</f>
        <v>21747.723081547014</v>
      </c>
      <c r="CE2" s="96"/>
      <c r="CF2" s="96"/>
      <c r="CG2" s="96"/>
      <c r="CH2" s="96"/>
      <c r="CI2" s="96">
        <f>IF($I$14="yes",CD2+(CD2*$I$15),CD2)</f>
        <v>21965.200312362485</v>
      </c>
      <c r="CJ2" s="96"/>
      <c r="CK2" s="96"/>
      <c r="CL2" s="96"/>
      <c r="CM2" s="96"/>
      <c r="CN2" s="96">
        <f>IF($I$14="yes",CI2+(CI2*$I$15),CI2)</f>
        <v>22184.85231548611</v>
      </c>
      <c r="CO2" s="96"/>
      <c r="CP2" s="96"/>
      <c r="CQ2" s="96"/>
      <c r="CR2" s="96"/>
      <c r="CS2" s="96"/>
      <c r="CT2" s="96">
        <f>IF($I$14="yes",CN2+(CN2*$I$15),CN2)</f>
        <v>22406.700838640973</v>
      </c>
      <c r="CU2" s="96"/>
      <c r="CV2" s="96"/>
      <c r="CW2" s="96"/>
      <c r="CX2" s="96"/>
      <c r="CY2" s="96">
        <f>IF($I$14="yes",CT2+(CT2*$I$15),CT2)</f>
        <v>22630.767847027382</v>
      </c>
      <c r="CZ2" s="96"/>
      <c r="DA2" s="96"/>
      <c r="DB2" s="96"/>
      <c r="DC2" s="96"/>
      <c r="DD2" s="96">
        <f>IF($I$14="yes",CY2+(CY2*$I$15),CY2)</f>
        <v>22857.075525497658</v>
      </c>
      <c r="DE2" s="96"/>
      <c r="DF2" s="96"/>
      <c r="DG2" s="96"/>
      <c r="DH2" s="96"/>
      <c r="DI2" s="96">
        <f>IF($I$14="yes",DD2+(DD2*$I$15),DD2)</f>
        <v>23085.646280752633</v>
      </c>
      <c r="DJ2" s="96"/>
      <c r="DK2" s="96"/>
      <c r="DL2" s="96"/>
      <c r="DM2" s="96"/>
      <c r="DN2" s="96">
        <f>IF($I$14="yes",DI2+(DI2*$I$15),DI2)</f>
        <v>23316.50274356016</v>
      </c>
      <c r="DO2" s="96"/>
      <c r="DP2" s="96"/>
      <c r="DQ2" s="96"/>
      <c r="DR2" s="96"/>
    </row>
    <row r="3" spans="19:122" ht="15.75" hidden="1">
      <c r="S3" s="2" t="s">
        <v>3</v>
      </c>
      <c r="T3" s="205">
        <f>T13-(T36+T44+T45+T46)-T60</f>
        <v>355032.4500000002</v>
      </c>
      <c r="U3" s="45"/>
      <c r="V3" s="45"/>
      <c r="W3" s="45"/>
      <c r="X3" s="45"/>
      <c r="Y3" s="205">
        <f>Y13-(Y36+Y44+Y45+Y46)-Y60</f>
        <v>382110.5176012977</v>
      </c>
      <c r="Z3" s="96"/>
      <c r="AA3" s="96"/>
      <c r="AB3" s="96"/>
      <c r="AC3" s="96"/>
      <c r="AD3" s="205">
        <f>AD13-(AD36+AD44+AD45+AD46)-AD60</f>
        <v>409438.2504280377</v>
      </c>
      <c r="AE3" s="96"/>
      <c r="AF3" s="96"/>
      <c r="AG3" s="96"/>
      <c r="AH3" s="96"/>
      <c r="AI3" s="205">
        <f>AI13-(AI36+AI44+AI45+AI46)-AI60</f>
        <v>437018.0390299638</v>
      </c>
      <c r="AJ3" s="96"/>
      <c r="AK3" s="96"/>
      <c r="AL3" s="96"/>
      <c r="AM3" s="96"/>
      <c r="AN3" s="205">
        <f>AN13-(AN36+AN44+AN45+AN46)-AN60</f>
        <v>464852.29680128815</v>
      </c>
      <c r="AO3" s="96"/>
      <c r="AP3" s="96"/>
      <c r="AQ3" s="96"/>
      <c r="AR3" s="96"/>
      <c r="AT3" s="205">
        <f>AT13-(AT36+AT44+AT45+AT46)-AT60</f>
        <v>492943.46019853186</v>
      </c>
      <c r="AU3" s="96"/>
      <c r="AV3" s="96"/>
      <c r="AW3" s="96"/>
      <c r="AX3" s="96"/>
      <c r="AY3" s="205">
        <f>AY13-(AY36+AY44+AY45+AY46)-AY60</f>
        <v>521358.61710466025</v>
      </c>
      <c r="AZ3" s="96"/>
      <c r="BA3" s="96"/>
      <c r="BB3" s="96"/>
      <c r="BC3" s="96"/>
      <c r="BD3" s="205">
        <f>BD13-(BD36+BD44+BD45+BD46)-BD60</f>
        <v>549982.1459548883</v>
      </c>
      <c r="BE3" s="96"/>
      <c r="BF3" s="96"/>
      <c r="BG3" s="96"/>
      <c r="BH3" s="96"/>
      <c r="BI3" s="205">
        <f>BI13-(BI36+BI44+BI45+BI46)-BI60</f>
        <v>578870.1418987908</v>
      </c>
      <c r="BJ3" s="96"/>
      <c r="BK3" s="96"/>
      <c r="BL3" s="96"/>
      <c r="BM3" s="96"/>
      <c r="BN3" s="205">
        <f>BN13-(BN36+BN44+BN45+BN46)-BN60</f>
        <v>608025.1369773508</v>
      </c>
      <c r="BO3" s="96"/>
      <c r="BP3" s="96"/>
      <c r="BQ3" s="96"/>
      <c r="BR3" s="96"/>
      <c r="BT3" s="205">
        <f>BT13-(BT36+BT44+BT45+BT46)-BT60</f>
        <v>637449.6874256595</v>
      </c>
      <c r="BU3" s="96"/>
      <c r="BV3" s="96"/>
      <c r="BW3" s="96"/>
      <c r="BX3" s="96"/>
      <c r="BY3" s="205">
        <f>BY13-(BY36+BY44+BY45+BY46)-BY60</f>
        <v>667146.3739035972</v>
      </c>
      <c r="BZ3" s="96"/>
      <c r="CA3" s="96"/>
      <c r="CB3" s="96"/>
      <c r="CC3" s="96"/>
      <c r="CD3" s="205">
        <f>CD13-(CD36+CD44+CD45+CD46)-CD60</f>
        <v>697117.8017287035</v>
      </c>
      <c r="CE3" s="96"/>
      <c r="CF3" s="96"/>
      <c r="CG3" s="96"/>
      <c r="CH3" s="96"/>
      <c r="CI3" s="205">
        <f>CI13-(CI36+CI44+CI45+CI46)-CI60</f>
        <v>727366.6011112691</v>
      </c>
      <c r="CJ3" s="96"/>
      <c r="CK3" s="96"/>
      <c r="CL3" s="96"/>
      <c r="CM3" s="96"/>
      <c r="CN3" s="205">
        <f>CN13-(CN36+CN44+CN45+CN46)-CN60</f>
        <v>757895.427391652</v>
      </c>
      <c r="CO3" s="96"/>
      <c r="CP3" s="96"/>
      <c r="CQ3" s="96"/>
      <c r="CR3" s="96"/>
      <c r="CT3" s="205">
        <f>CT13-(CT36+CT44+CT45+CT46)-CT60</f>
        <v>788706.9612798612</v>
      </c>
      <c r="CU3" s="96"/>
      <c r="CV3" s="96"/>
      <c r="CW3" s="96"/>
      <c r="CX3" s="96"/>
      <c r="CY3" s="205">
        <f>CY13-(CY36+CY44+CY45+CY46)-CY60</f>
        <v>819803.9090974224</v>
      </c>
      <c r="CZ3" s="96"/>
      <c r="DA3" s="96"/>
      <c r="DB3" s="96"/>
      <c r="DC3" s="96"/>
      <c r="DD3" s="205">
        <f>DD13-(DD36+DD44+DD45+DD46)-DD60</f>
        <v>818374.686456631</v>
      </c>
      <c r="DE3" s="96"/>
      <c r="DF3" s="96"/>
      <c r="DG3" s="96"/>
      <c r="DH3" s="96"/>
      <c r="DI3" s="205">
        <f>DI13-(DI36+DI44+DI45+DI46)-DI60</f>
        <v>816300.4924103364</v>
      </c>
      <c r="DJ3" s="96"/>
      <c r="DK3" s="96"/>
      <c r="DL3" s="96"/>
      <c r="DM3" s="96"/>
      <c r="DN3" s="205">
        <f>DN13-(DN36+DN44+DN45+DN46)-DN60</f>
        <v>823478.7509514565</v>
      </c>
      <c r="DO3" s="96"/>
      <c r="DP3" s="96"/>
      <c r="DQ3" s="96"/>
      <c r="DR3" s="96"/>
    </row>
    <row r="4" spans="19:122" ht="15.75" hidden="1">
      <c r="S4" s="2" t="s">
        <v>4</v>
      </c>
      <c r="T4" s="113">
        <f>I11</f>
        <v>15.6</v>
      </c>
      <c r="U4" s="45"/>
      <c r="V4" s="45"/>
      <c r="W4" s="45"/>
      <c r="X4" s="45"/>
      <c r="Y4" s="113">
        <f>IF($I$12="yes",$T$4+($I$13*$T$4),$I$11)</f>
        <v>15.6</v>
      </c>
      <c r="Z4" s="96"/>
      <c r="AA4" s="96"/>
      <c r="AB4" s="96"/>
      <c r="AC4" s="96"/>
      <c r="AD4" s="113">
        <f>IF($I$12="yes",$Y$4+($I$13*$Y$4),$I$11)</f>
        <v>15.6</v>
      </c>
      <c r="AE4" s="96"/>
      <c r="AF4" s="96"/>
      <c r="AG4" s="96"/>
      <c r="AH4" s="96"/>
      <c r="AI4" s="113">
        <f>IF($I$12="yes",$AD$4+($I$13*$AD$4),$I$11)</f>
        <v>15.6</v>
      </c>
      <c r="AJ4" s="96"/>
      <c r="AK4" s="96"/>
      <c r="AL4" s="96"/>
      <c r="AM4" s="96"/>
      <c r="AN4" s="113">
        <f>IF($I$12="yes",$AI$4+($I$13*$AI$4),$I$11)</f>
        <v>15.6</v>
      </c>
      <c r="AO4" s="96"/>
      <c r="AP4" s="96"/>
      <c r="AQ4" s="96"/>
      <c r="AR4" s="96"/>
      <c r="AT4" s="113">
        <f>IF($I$12="yes",$AN$4+($I$13*$AN$4),$I$11)</f>
        <v>15.6</v>
      </c>
      <c r="AU4" s="96"/>
      <c r="AV4" s="96"/>
      <c r="AW4" s="96"/>
      <c r="AX4" s="96"/>
      <c r="AY4" s="113">
        <f>IF($I$12="yes",$AT$4+($I$13*$AT$4),$I$11)</f>
        <v>15.6</v>
      </c>
      <c r="AZ4" s="96"/>
      <c r="BA4" s="96"/>
      <c r="BB4" s="96"/>
      <c r="BC4" s="96"/>
      <c r="BD4" s="113">
        <f>IF($I$12="yes",$AY$4+($I$13*$AY$4),$I$11)</f>
        <v>15.6</v>
      </c>
      <c r="BE4" s="96"/>
      <c r="BF4" s="96"/>
      <c r="BG4" s="96"/>
      <c r="BH4" s="96"/>
      <c r="BI4" s="113">
        <f>IF($I$12="yes",$BD$4+($I$13*$BD$4),$I$11)</f>
        <v>15.6</v>
      </c>
      <c r="BJ4" s="96"/>
      <c r="BK4" s="96"/>
      <c r="BL4" s="96"/>
      <c r="BM4" s="96"/>
      <c r="BN4" s="113">
        <f>IF($I$12="yes",$BI$4+($I$13*$BI$4),$I$11)</f>
        <v>15.6</v>
      </c>
      <c r="BO4" s="96"/>
      <c r="BP4" s="96"/>
      <c r="BQ4" s="96"/>
      <c r="BR4" s="96"/>
      <c r="BT4" s="113">
        <f>IF($I$12="yes",$BN$4+($I$13*$BN$4),$I$11)</f>
        <v>15.6</v>
      </c>
      <c r="BU4" s="96"/>
      <c r="BV4" s="96"/>
      <c r="BW4" s="96"/>
      <c r="BX4" s="96"/>
      <c r="BY4" s="113">
        <f>IF($I$12="yes",$BT$4+($I$13*$BT$4),$I$11)</f>
        <v>15.6</v>
      </c>
      <c r="BZ4" s="96"/>
      <c r="CA4" s="96"/>
      <c r="CB4" s="96"/>
      <c r="CC4" s="96"/>
      <c r="CD4" s="113">
        <f>IF($I$12="yes",$BY$4+($I$13*$BY$4),$I$11)</f>
        <v>15.6</v>
      </c>
      <c r="CE4" s="96"/>
      <c r="CF4" s="96"/>
      <c r="CG4" s="96"/>
      <c r="CH4" s="96"/>
      <c r="CI4" s="113">
        <f>IF($I$12="yes",$CD$4+($I$13*$CD$4),$I$11)</f>
        <v>15.6</v>
      </c>
      <c r="CJ4" s="96"/>
      <c r="CK4" s="96"/>
      <c r="CL4" s="96"/>
      <c r="CM4" s="96"/>
      <c r="CN4" s="113">
        <f>IF($I$12="yes",$CI$4+($I$13*$CI$4),$I$11)</f>
        <v>15.6</v>
      </c>
      <c r="CO4" s="96"/>
      <c r="CP4" s="96"/>
      <c r="CQ4" s="96"/>
      <c r="CR4" s="96"/>
      <c r="CT4" s="113">
        <f>IF($I$12="yes",$CN$4+($I$13*$CN$4),$I$11)</f>
        <v>15.6</v>
      </c>
      <c r="CU4" s="96"/>
      <c r="CV4" s="96"/>
      <c r="CW4" s="96"/>
      <c r="CX4" s="96"/>
      <c r="CY4" s="113">
        <f>IF($I$12="yes",$CT$4+($I$13*$CT$4),$I$11)</f>
        <v>15.6</v>
      </c>
      <c r="CZ4" s="96"/>
      <c r="DA4" s="96"/>
      <c r="DB4" s="96"/>
      <c r="DC4" s="96"/>
      <c r="DD4" s="113">
        <f>IF($I$12="yes",$CY$4+($I$13*$CY$4),$I$11)</f>
        <v>15.6</v>
      </c>
      <c r="DE4" s="96"/>
      <c r="DF4" s="96"/>
      <c r="DG4" s="96"/>
      <c r="DH4" s="96"/>
      <c r="DI4" s="113">
        <f>IF($I$12="yes",$DD$4+($I$13*$DD$4),$I$11)</f>
        <v>15.6</v>
      </c>
      <c r="DJ4" s="96"/>
      <c r="DK4" s="96"/>
      <c r="DL4" s="96"/>
      <c r="DM4" s="96"/>
      <c r="DN4" s="113">
        <f>IF($I$12="yes",$DI$4+($I$13*$DI$4),$I$11)</f>
        <v>15.6</v>
      </c>
      <c r="DO4" s="96"/>
      <c r="DP4" s="96"/>
      <c r="DQ4" s="96"/>
      <c r="DR4" s="96"/>
    </row>
    <row r="5" spans="1:164" ht="16.5" thickBot="1">
      <c r="A5" s="1" t="s">
        <v>5</v>
      </c>
      <c r="B5" s="418"/>
      <c r="C5" s="126"/>
      <c r="D5" s="375"/>
      <c r="E5" s="364"/>
      <c r="G5" s="22" t="s">
        <v>6</v>
      </c>
      <c r="H5" s="431"/>
      <c r="I5" s="431"/>
      <c r="J5" s="203"/>
      <c r="K5" s="58" t="s">
        <v>7</v>
      </c>
      <c r="M5" s="205"/>
      <c r="S5" s="1" t="s">
        <v>8</v>
      </c>
      <c r="T5" s="31"/>
      <c r="U5" s="31"/>
      <c r="V5" s="31"/>
      <c r="W5" s="31"/>
      <c r="X5" s="3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" t="s">
        <v>9</v>
      </c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1" t="s">
        <v>9</v>
      </c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" t="s">
        <v>9</v>
      </c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T5" s="58" t="s">
        <v>10</v>
      </c>
      <c r="EB5" s="14"/>
      <c r="EC5" s="58"/>
      <c r="ED5" s="14"/>
      <c r="EE5" s="14"/>
      <c r="EF5" s="14"/>
      <c r="EH5" s="58" t="s">
        <v>11</v>
      </c>
      <c r="EO5" s="14"/>
      <c r="EP5" s="14"/>
      <c r="EQ5" s="14"/>
      <c r="ER5" s="14"/>
      <c r="ES5" s="14"/>
      <c r="ET5" s="14"/>
      <c r="EU5" s="14"/>
      <c r="EV5" s="14"/>
      <c r="EW5" s="14"/>
      <c r="EX5" s="14"/>
      <c r="FH5" s="58" t="s">
        <v>12</v>
      </c>
    </row>
    <row r="6" spans="1:199" ht="17.25" thickBot="1" thickTop="1">
      <c r="A6" s="1" t="s">
        <v>13</v>
      </c>
      <c r="B6" s="418"/>
      <c r="C6" s="126"/>
      <c r="D6" s="365"/>
      <c r="E6" s="365"/>
      <c r="G6" s="23" t="s">
        <v>14</v>
      </c>
      <c r="H6" s="432"/>
      <c r="I6" s="433"/>
      <c r="J6" s="203"/>
      <c r="K6" s="150" t="s">
        <v>15</v>
      </c>
      <c r="L6" s="216">
        <f>$T$61+$Y$61+$AD$61+$AI$61+$AN$61+$AT$61+$AY$61+$BD$61+$BI$61+$BN$61+$BT$61+$BY$61+$CD$61+$CI$61+$CN$61+$CT$61+$CY$61+$DD$61+$DI$61+$DN$61</f>
        <v>1401614.3891633349</v>
      </c>
      <c r="M6" s="197" t="s">
        <v>16</v>
      </c>
      <c r="N6" s="196"/>
      <c r="O6" s="237">
        <f>($L$6/20)/($E$163+$EJ$30+$EL$30+$EN$30+$EP$30+$ER$30+$ET$30+$EV$30+$EX$30)</f>
        <v>0.01095875442058241</v>
      </c>
      <c r="P6" s="388"/>
      <c r="Q6" s="387"/>
      <c r="R6" s="151"/>
      <c r="S6" s="182"/>
      <c r="T6" s="183"/>
      <c r="U6" s="183"/>
      <c r="V6" s="183"/>
      <c r="W6" s="183" t="s">
        <v>17</v>
      </c>
      <c r="X6" s="183" t="s">
        <v>17</v>
      </c>
      <c r="Y6" s="183"/>
      <c r="Z6" s="183"/>
      <c r="AA6" s="183"/>
      <c r="AB6" s="183" t="s">
        <v>17</v>
      </c>
      <c r="AC6" s="183" t="s">
        <v>17</v>
      </c>
      <c r="AD6" s="183"/>
      <c r="AE6" s="183"/>
      <c r="AF6" s="183"/>
      <c r="AG6" s="183" t="s">
        <v>17</v>
      </c>
      <c r="AH6" s="183" t="s">
        <v>17</v>
      </c>
      <c r="AI6" s="183"/>
      <c r="AJ6" s="183"/>
      <c r="AK6" s="183"/>
      <c r="AL6" s="183" t="s">
        <v>17</v>
      </c>
      <c r="AM6" s="183" t="s">
        <v>17</v>
      </c>
      <c r="AN6" s="183"/>
      <c r="AO6" s="183"/>
      <c r="AP6" s="183"/>
      <c r="AQ6" s="183" t="s">
        <v>17</v>
      </c>
      <c r="AR6" s="183" t="s">
        <v>17</v>
      </c>
      <c r="AS6" s="182"/>
      <c r="AT6" s="183"/>
      <c r="AU6" s="183"/>
      <c r="AV6" s="183"/>
      <c r="AW6" s="183" t="s">
        <v>17</v>
      </c>
      <c r="AX6" s="183" t="s">
        <v>17</v>
      </c>
      <c r="AY6" s="183"/>
      <c r="AZ6" s="183"/>
      <c r="BA6" s="183"/>
      <c r="BB6" s="183" t="s">
        <v>17</v>
      </c>
      <c r="BC6" s="183" t="s">
        <v>17</v>
      </c>
      <c r="BD6" s="183"/>
      <c r="BE6" s="183"/>
      <c r="BF6" s="183"/>
      <c r="BG6" s="183" t="s">
        <v>17</v>
      </c>
      <c r="BH6" s="183" t="s">
        <v>17</v>
      </c>
      <c r="BI6" s="183"/>
      <c r="BJ6" s="183"/>
      <c r="BK6" s="183"/>
      <c r="BL6" s="183" t="s">
        <v>17</v>
      </c>
      <c r="BM6" s="183" t="s">
        <v>17</v>
      </c>
      <c r="BN6" s="183"/>
      <c r="BO6" s="183"/>
      <c r="BP6" s="183"/>
      <c r="BQ6" s="183" t="s">
        <v>17</v>
      </c>
      <c r="BR6" s="183" t="s">
        <v>17</v>
      </c>
      <c r="BS6" s="182"/>
      <c r="BT6" s="183"/>
      <c r="BU6" s="183"/>
      <c r="BV6" s="183"/>
      <c r="BW6" s="183" t="s">
        <v>17</v>
      </c>
      <c r="BX6" s="183" t="s">
        <v>17</v>
      </c>
      <c r="BY6" s="183"/>
      <c r="BZ6" s="183"/>
      <c r="CA6" s="183"/>
      <c r="CB6" s="183" t="s">
        <v>17</v>
      </c>
      <c r="CC6" s="183" t="s">
        <v>17</v>
      </c>
      <c r="CD6" s="183"/>
      <c r="CE6" s="183"/>
      <c r="CF6" s="183"/>
      <c r="CG6" s="183" t="s">
        <v>17</v>
      </c>
      <c r="CH6" s="183" t="s">
        <v>17</v>
      </c>
      <c r="CI6" s="183"/>
      <c r="CJ6" s="183"/>
      <c r="CK6" s="183"/>
      <c r="CL6" s="183" t="s">
        <v>17</v>
      </c>
      <c r="CM6" s="183" t="s">
        <v>17</v>
      </c>
      <c r="CN6" s="183"/>
      <c r="CO6" s="183"/>
      <c r="CP6" s="183"/>
      <c r="CQ6" s="183" t="s">
        <v>17</v>
      </c>
      <c r="CR6" s="183" t="s">
        <v>17</v>
      </c>
      <c r="CS6" s="182"/>
      <c r="CT6" s="183"/>
      <c r="CU6" s="183"/>
      <c r="CV6" s="183"/>
      <c r="CW6" s="183" t="s">
        <v>17</v>
      </c>
      <c r="CX6" s="183" t="s">
        <v>17</v>
      </c>
      <c r="CY6" s="183"/>
      <c r="CZ6" s="183"/>
      <c r="DA6" s="183"/>
      <c r="DB6" s="183" t="s">
        <v>17</v>
      </c>
      <c r="DC6" s="183" t="s">
        <v>17</v>
      </c>
      <c r="DD6" s="183"/>
      <c r="DE6" s="183"/>
      <c r="DF6" s="183"/>
      <c r="DG6" s="183" t="s">
        <v>17</v>
      </c>
      <c r="DH6" s="183" t="s">
        <v>17</v>
      </c>
      <c r="DI6" s="183"/>
      <c r="DJ6" s="183"/>
      <c r="DK6" s="183"/>
      <c r="DL6" s="183" t="s">
        <v>17</v>
      </c>
      <c r="DM6" s="183" t="s">
        <v>17</v>
      </c>
      <c r="DN6" s="186"/>
      <c r="DO6" s="183"/>
      <c r="DP6" s="183"/>
      <c r="DQ6" s="183" t="s">
        <v>17</v>
      </c>
      <c r="DR6" s="186" t="s">
        <v>17</v>
      </c>
      <c r="DT6" s="59"/>
      <c r="DU6" s="60"/>
      <c r="DV6" s="60"/>
      <c r="DW6" s="60"/>
      <c r="DX6" s="60"/>
      <c r="DY6" s="60"/>
      <c r="DZ6" s="60"/>
      <c r="EA6" s="60"/>
      <c r="EB6" s="60"/>
      <c r="EC6" s="60"/>
      <c r="ED6" s="60" t="s">
        <v>18</v>
      </c>
      <c r="EE6" s="60" t="s">
        <v>18</v>
      </c>
      <c r="EF6" s="61" t="s">
        <v>19</v>
      </c>
      <c r="EH6" s="59"/>
      <c r="EI6" s="60"/>
      <c r="EJ6" s="60" t="s">
        <v>20</v>
      </c>
      <c r="EK6" s="60"/>
      <c r="EL6" s="60" t="s">
        <v>21</v>
      </c>
      <c r="EM6" s="60"/>
      <c r="EN6" s="60" t="s">
        <v>22</v>
      </c>
      <c r="EO6" s="60"/>
      <c r="EP6" s="60" t="s">
        <v>23</v>
      </c>
      <c r="EQ6" s="60"/>
      <c r="ER6" s="60" t="s">
        <v>24</v>
      </c>
      <c r="ES6" s="60"/>
      <c r="ET6" s="60" t="s">
        <v>25</v>
      </c>
      <c r="EU6" s="60"/>
      <c r="EV6" s="60" t="s">
        <v>26</v>
      </c>
      <c r="EW6" s="60"/>
      <c r="EX6" s="61" t="s">
        <v>18</v>
      </c>
      <c r="FH6" s="59"/>
      <c r="FI6" s="84" t="s">
        <v>27</v>
      </c>
      <c r="FJ6" s="84" t="s">
        <v>27</v>
      </c>
      <c r="FK6" s="84" t="s">
        <v>27</v>
      </c>
      <c r="FL6" s="84" t="s">
        <v>27</v>
      </c>
      <c r="FM6" s="84" t="s">
        <v>19</v>
      </c>
      <c r="FN6" s="84" t="s">
        <v>27</v>
      </c>
      <c r="FO6" s="84" t="s">
        <v>27</v>
      </c>
      <c r="FP6" s="84" t="s">
        <v>19</v>
      </c>
      <c r="FQ6" s="84" t="s">
        <v>27</v>
      </c>
      <c r="FR6" s="84" t="s">
        <v>27</v>
      </c>
      <c r="FS6" s="84" t="s">
        <v>19</v>
      </c>
      <c r="FT6" s="84" t="s">
        <v>27</v>
      </c>
      <c r="FU6" s="84" t="s">
        <v>27</v>
      </c>
      <c r="FV6" s="84" t="s">
        <v>19</v>
      </c>
      <c r="FW6" s="84" t="s">
        <v>27</v>
      </c>
      <c r="FX6" s="84" t="s">
        <v>27</v>
      </c>
      <c r="FY6" s="84" t="s">
        <v>27</v>
      </c>
      <c r="FZ6" s="84" t="s">
        <v>27</v>
      </c>
      <c r="GA6" s="84" t="s">
        <v>27</v>
      </c>
      <c r="GB6" s="84" t="s">
        <v>27</v>
      </c>
      <c r="GC6" s="84" t="s">
        <v>27</v>
      </c>
      <c r="GD6" s="84" t="s">
        <v>27</v>
      </c>
      <c r="GE6" s="84" t="s">
        <v>27</v>
      </c>
      <c r="GF6" s="84" t="s">
        <v>27</v>
      </c>
      <c r="GG6" s="84" t="s">
        <v>27</v>
      </c>
      <c r="GH6" s="84" t="s">
        <v>27</v>
      </c>
      <c r="GI6" s="84" t="s">
        <v>27</v>
      </c>
      <c r="GJ6" s="84" t="s">
        <v>27</v>
      </c>
      <c r="GK6" s="84" t="s">
        <v>27</v>
      </c>
      <c r="GL6" s="84" t="s">
        <v>27</v>
      </c>
      <c r="GM6" s="84"/>
      <c r="GN6" s="84"/>
      <c r="GO6" s="84"/>
      <c r="GP6" s="84" t="s">
        <v>19</v>
      </c>
      <c r="GQ6" s="85" t="s">
        <v>19</v>
      </c>
    </row>
    <row r="7" spans="1:199" ht="17.25" thickBot="1" thickTop="1">
      <c r="A7" s="6"/>
      <c r="B7" s="419"/>
      <c r="C7" s="423"/>
      <c r="D7" s="373"/>
      <c r="E7" s="366" t="s">
        <v>19</v>
      </c>
      <c r="G7" s="24" t="s">
        <v>28</v>
      </c>
      <c r="H7" s="438" t="str">
        <f>IF($I$7&lt;&gt;$A$18,"WARNING!*","OK*1")</f>
        <v>OK*1</v>
      </c>
      <c r="I7" s="497">
        <v>1200</v>
      </c>
      <c r="J7" s="203"/>
      <c r="K7" s="154" t="s">
        <v>29</v>
      </c>
      <c r="L7" s="227"/>
      <c r="M7" s="215" t="s">
        <v>30</v>
      </c>
      <c r="N7" s="217"/>
      <c r="O7" s="238"/>
      <c r="P7" s="239"/>
      <c r="Q7" s="221"/>
      <c r="R7" s="151"/>
      <c r="S7" s="36" t="s">
        <v>31</v>
      </c>
      <c r="T7" s="185">
        <v>1</v>
      </c>
      <c r="U7" s="185" t="s">
        <v>32</v>
      </c>
      <c r="V7" s="185" t="s">
        <v>33</v>
      </c>
      <c r="W7" s="185" t="s">
        <v>34</v>
      </c>
      <c r="X7" s="185" t="s">
        <v>35</v>
      </c>
      <c r="Y7" s="185">
        <v>2</v>
      </c>
      <c r="Z7" s="185" t="s">
        <v>32</v>
      </c>
      <c r="AA7" s="185" t="s">
        <v>33</v>
      </c>
      <c r="AB7" s="185" t="s">
        <v>34</v>
      </c>
      <c r="AC7" s="185" t="s">
        <v>35</v>
      </c>
      <c r="AD7" s="185">
        <v>3</v>
      </c>
      <c r="AE7" s="185" t="s">
        <v>32</v>
      </c>
      <c r="AF7" s="185" t="s">
        <v>33</v>
      </c>
      <c r="AG7" s="185" t="s">
        <v>34</v>
      </c>
      <c r="AH7" s="185" t="s">
        <v>35</v>
      </c>
      <c r="AI7" s="185">
        <v>4</v>
      </c>
      <c r="AJ7" s="185" t="s">
        <v>32</v>
      </c>
      <c r="AK7" s="185" t="s">
        <v>33</v>
      </c>
      <c r="AL7" s="185" t="s">
        <v>34</v>
      </c>
      <c r="AM7" s="185" t="s">
        <v>35</v>
      </c>
      <c r="AN7" s="185">
        <v>5</v>
      </c>
      <c r="AO7" s="185" t="s">
        <v>32</v>
      </c>
      <c r="AP7" s="185" t="s">
        <v>33</v>
      </c>
      <c r="AQ7" s="185" t="s">
        <v>34</v>
      </c>
      <c r="AR7" s="185" t="s">
        <v>35</v>
      </c>
      <c r="AS7" s="36" t="s">
        <v>31</v>
      </c>
      <c r="AT7" s="185">
        <v>6</v>
      </c>
      <c r="AU7" s="185" t="s">
        <v>32</v>
      </c>
      <c r="AV7" s="185" t="s">
        <v>33</v>
      </c>
      <c r="AW7" s="185" t="s">
        <v>34</v>
      </c>
      <c r="AX7" s="185" t="s">
        <v>35</v>
      </c>
      <c r="AY7" s="185">
        <v>7</v>
      </c>
      <c r="AZ7" s="185" t="s">
        <v>32</v>
      </c>
      <c r="BA7" s="185" t="s">
        <v>33</v>
      </c>
      <c r="BB7" s="185" t="s">
        <v>34</v>
      </c>
      <c r="BC7" s="185" t="s">
        <v>35</v>
      </c>
      <c r="BD7" s="185">
        <v>8</v>
      </c>
      <c r="BE7" s="185" t="s">
        <v>32</v>
      </c>
      <c r="BF7" s="185" t="s">
        <v>33</v>
      </c>
      <c r="BG7" s="185" t="s">
        <v>34</v>
      </c>
      <c r="BH7" s="185" t="s">
        <v>35</v>
      </c>
      <c r="BI7" s="185">
        <v>9</v>
      </c>
      <c r="BJ7" s="185" t="s">
        <v>32</v>
      </c>
      <c r="BK7" s="185" t="s">
        <v>33</v>
      </c>
      <c r="BL7" s="185" t="s">
        <v>34</v>
      </c>
      <c r="BM7" s="185" t="s">
        <v>35</v>
      </c>
      <c r="BN7" s="185">
        <v>10</v>
      </c>
      <c r="BO7" s="185" t="s">
        <v>32</v>
      </c>
      <c r="BP7" s="185" t="s">
        <v>33</v>
      </c>
      <c r="BQ7" s="185" t="s">
        <v>34</v>
      </c>
      <c r="BR7" s="185" t="s">
        <v>35</v>
      </c>
      <c r="BS7" s="36" t="s">
        <v>31</v>
      </c>
      <c r="BT7" s="185">
        <v>11</v>
      </c>
      <c r="BU7" s="185" t="s">
        <v>32</v>
      </c>
      <c r="BV7" s="185" t="s">
        <v>33</v>
      </c>
      <c r="BW7" s="185" t="s">
        <v>34</v>
      </c>
      <c r="BX7" s="185" t="s">
        <v>35</v>
      </c>
      <c r="BY7" s="185">
        <v>12</v>
      </c>
      <c r="BZ7" s="185" t="s">
        <v>32</v>
      </c>
      <c r="CA7" s="185" t="s">
        <v>33</v>
      </c>
      <c r="CB7" s="185" t="s">
        <v>34</v>
      </c>
      <c r="CC7" s="185" t="s">
        <v>35</v>
      </c>
      <c r="CD7" s="185">
        <v>13</v>
      </c>
      <c r="CE7" s="185" t="s">
        <v>32</v>
      </c>
      <c r="CF7" s="185" t="s">
        <v>33</v>
      </c>
      <c r="CG7" s="185" t="s">
        <v>34</v>
      </c>
      <c r="CH7" s="185" t="s">
        <v>35</v>
      </c>
      <c r="CI7" s="185">
        <v>14</v>
      </c>
      <c r="CJ7" s="185" t="s">
        <v>32</v>
      </c>
      <c r="CK7" s="185" t="s">
        <v>33</v>
      </c>
      <c r="CL7" s="185" t="s">
        <v>34</v>
      </c>
      <c r="CM7" s="185" t="s">
        <v>35</v>
      </c>
      <c r="CN7" s="185">
        <v>15</v>
      </c>
      <c r="CO7" s="185" t="s">
        <v>32</v>
      </c>
      <c r="CP7" s="185" t="s">
        <v>33</v>
      </c>
      <c r="CQ7" s="185" t="s">
        <v>34</v>
      </c>
      <c r="CR7" s="185" t="s">
        <v>35</v>
      </c>
      <c r="CS7" s="36" t="s">
        <v>31</v>
      </c>
      <c r="CT7" s="185">
        <v>16</v>
      </c>
      <c r="CU7" s="185" t="s">
        <v>32</v>
      </c>
      <c r="CV7" s="185" t="s">
        <v>33</v>
      </c>
      <c r="CW7" s="185" t="s">
        <v>34</v>
      </c>
      <c r="CX7" s="185" t="s">
        <v>35</v>
      </c>
      <c r="CY7" s="185">
        <v>17</v>
      </c>
      <c r="CZ7" s="185" t="s">
        <v>32</v>
      </c>
      <c r="DA7" s="185" t="s">
        <v>33</v>
      </c>
      <c r="DB7" s="185" t="s">
        <v>34</v>
      </c>
      <c r="DC7" s="185" t="s">
        <v>35</v>
      </c>
      <c r="DD7" s="185">
        <v>18</v>
      </c>
      <c r="DE7" s="185" t="s">
        <v>32</v>
      </c>
      <c r="DF7" s="185" t="s">
        <v>33</v>
      </c>
      <c r="DG7" s="185" t="s">
        <v>34</v>
      </c>
      <c r="DH7" s="185" t="s">
        <v>35</v>
      </c>
      <c r="DI7" s="185">
        <v>19</v>
      </c>
      <c r="DJ7" s="185" t="s">
        <v>32</v>
      </c>
      <c r="DK7" s="185" t="s">
        <v>33</v>
      </c>
      <c r="DL7" s="185" t="s">
        <v>34</v>
      </c>
      <c r="DM7" s="185" t="s">
        <v>35</v>
      </c>
      <c r="DN7" s="187">
        <v>20</v>
      </c>
      <c r="DO7" s="185" t="s">
        <v>32</v>
      </c>
      <c r="DP7" s="185" t="s">
        <v>33</v>
      </c>
      <c r="DQ7" s="185" t="s">
        <v>34</v>
      </c>
      <c r="DR7" s="187" t="s">
        <v>35</v>
      </c>
      <c r="DT7" s="62"/>
      <c r="DU7" s="63" t="s">
        <v>36</v>
      </c>
      <c r="DV7" s="63" t="s">
        <v>36</v>
      </c>
      <c r="DW7" s="63" t="s">
        <v>19</v>
      </c>
      <c r="DX7" s="63" t="s">
        <v>37</v>
      </c>
      <c r="DY7" s="63" t="s">
        <v>37</v>
      </c>
      <c r="DZ7" s="63" t="s">
        <v>19</v>
      </c>
      <c r="EA7" s="63" t="s">
        <v>38</v>
      </c>
      <c r="EB7" s="63" t="s">
        <v>38</v>
      </c>
      <c r="EC7" s="63" t="s">
        <v>19</v>
      </c>
      <c r="ED7" s="63" t="s">
        <v>39</v>
      </c>
      <c r="EE7" s="63" t="s">
        <v>39</v>
      </c>
      <c r="EF7" s="64" t="s">
        <v>18</v>
      </c>
      <c r="EH7" s="62"/>
      <c r="EI7" s="63" t="s">
        <v>20</v>
      </c>
      <c r="EJ7" s="63" t="s">
        <v>40</v>
      </c>
      <c r="EK7" s="63" t="s">
        <v>21</v>
      </c>
      <c r="EL7" s="63" t="s">
        <v>40</v>
      </c>
      <c r="EM7" s="63" t="s">
        <v>22</v>
      </c>
      <c r="EN7" s="63" t="s">
        <v>41</v>
      </c>
      <c r="EO7" s="63" t="s">
        <v>23</v>
      </c>
      <c r="EP7" s="63" t="s">
        <v>42</v>
      </c>
      <c r="EQ7" s="63" t="s">
        <v>24</v>
      </c>
      <c r="ER7" s="63" t="s">
        <v>42</v>
      </c>
      <c r="ES7" s="63" t="s">
        <v>25</v>
      </c>
      <c r="ET7" s="63" t="s">
        <v>42</v>
      </c>
      <c r="EU7" s="63" t="s">
        <v>26</v>
      </c>
      <c r="EV7" s="63" t="s">
        <v>43</v>
      </c>
      <c r="EW7" s="63" t="s">
        <v>18</v>
      </c>
      <c r="EX7" s="64" t="s">
        <v>40</v>
      </c>
      <c r="FH7" s="62"/>
      <c r="FI7" s="86" t="s">
        <v>44</v>
      </c>
      <c r="FJ7" s="86" t="s">
        <v>44</v>
      </c>
      <c r="FK7" s="86" t="s">
        <v>44</v>
      </c>
      <c r="FL7" s="86" t="s">
        <v>44</v>
      </c>
      <c r="FM7" s="86" t="s">
        <v>27</v>
      </c>
      <c r="FN7" s="86" t="s">
        <v>20</v>
      </c>
      <c r="FO7" s="86" t="s">
        <v>20</v>
      </c>
      <c r="FP7" s="86" t="s">
        <v>27</v>
      </c>
      <c r="FQ7" s="86" t="s">
        <v>21</v>
      </c>
      <c r="FR7" s="86" t="s">
        <v>21</v>
      </c>
      <c r="FS7" s="86" t="s">
        <v>27</v>
      </c>
      <c r="FT7" s="86" t="s">
        <v>22</v>
      </c>
      <c r="FU7" s="86" t="s">
        <v>22</v>
      </c>
      <c r="FV7" s="86" t="s">
        <v>27</v>
      </c>
      <c r="FW7" s="86" t="s">
        <v>45</v>
      </c>
      <c r="FX7" s="86" t="s">
        <v>45</v>
      </c>
      <c r="FY7" s="86" t="s">
        <v>45</v>
      </c>
      <c r="FZ7" s="86" t="s">
        <v>45</v>
      </c>
      <c r="GA7" s="86" t="s">
        <v>46</v>
      </c>
      <c r="GB7" s="86" t="s">
        <v>46</v>
      </c>
      <c r="GC7" s="86" t="s">
        <v>46</v>
      </c>
      <c r="GD7" s="86" t="s">
        <v>46</v>
      </c>
      <c r="GE7" s="86" t="s">
        <v>47</v>
      </c>
      <c r="GF7" s="86" t="s">
        <v>47</v>
      </c>
      <c r="GG7" s="86" t="s">
        <v>47</v>
      </c>
      <c r="GH7" s="86" t="s">
        <v>47</v>
      </c>
      <c r="GI7" s="86" t="s">
        <v>48</v>
      </c>
      <c r="GJ7" s="86" t="s">
        <v>48</v>
      </c>
      <c r="GK7" s="86" t="s">
        <v>48</v>
      </c>
      <c r="GL7" s="86" t="s">
        <v>48</v>
      </c>
      <c r="GM7" s="86" t="s">
        <v>19</v>
      </c>
      <c r="GN7" s="86" t="s">
        <v>49</v>
      </c>
      <c r="GO7" s="86" t="s">
        <v>49</v>
      </c>
      <c r="GP7" s="86" t="s">
        <v>27</v>
      </c>
      <c r="GQ7" s="87" t="s">
        <v>50</v>
      </c>
    </row>
    <row r="8" spans="1:199" ht="17.25" thickBot="1" thickTop="1">
      <c r="A8" s="9"/>
      <c r="B8" s="420"/>
      <c r="C8" s="424"/>
      <c r="D8" s="333" t="s">
        <v>51</v>
      </c>
      <c r="E8" s="132" t="s">
        <v>52</v>
      </c>
      <c r="G8" s="23" t="s">
        <v>53</v>
      </c>
      <c r="H8" s="439"/>
      <c r="I8" s="127"/>
      <c r="J8" s="203"/>
      <c r="K8" s="213" t="s">
        <v>54</v>
      </c>
      <c r="L8" s="214">
        <f>$I$77*$E$13+$I$78*$E$19+$I$79*($E$29+$E$38+$E$47+$E$61+$E$70+$E$78+$E$88+$E$99+$E$108+$E$119+$E$126+$E$161+$E$162)+$I$80*$E$152</f>
        <v>5419534</v>
      </c>
      <c r="M8" s="224">
        <f>($L$8/$E$163)*100</f>
        <v>90.78487762419334</v>
      </c>
      <c r="N8" s="220"/>
      <c r="O8" s="239"/>
      <c r="P8" s="239"/>
      <c r="Q8" s="221"/>
      <c r="R8" s="151"/>
      <c r="S8" s="184" t="s">
        <v>53</v>
      </c>
      <c r="T8" s="107"/>
      <c r="U8" s="34"/>
      <c r="V8" s="34"/>
      <c r="W8" s="34"/>
      <c r="X8" s="34"/>
      <c r="Y8" s="107"/>
      <c r="Z8" s="34"/>
      <c r="AA8" s="34"/>
      <c r="AB8" s="34"/>
      <c r="AC8" s="34"/>
      <c r="AD8" s="107"/>
      <c r="AE8" s="34"/>
      <c r="AF8" s="34"/>
      <c r="AG8" s="34"/>
      <c r="AH8" s="34"/>
      <c r="AI8" s="107"/>
      <c r="AJ8" s="34"/>
      <c r="AK8" s="34"/>
      <c r="AL8" s="34"/>
      <c r="AM8" s="34"/>
      <c r="AN8" s="107"/>
      <c r="AO8" s="34"/>
      <c r="AP8" s="34"/>
      <c r="AQ8" s="34"/>
      <c r="AR8" s="34"/>
      <c r="AS8" s="184" t="s">
        <v>53</v>
      </c>
      <c r="AT8" s="107"/>
      <c r="AU8" s="34"/>
      <c r="AV8" s="34"/>
      <c r="AW8" s="34"/>
      <c r="AX8" s="34"/>
      <c r="AY8" s="107"/>
      <c r="AZ8" s="34"/>
      <c r="BA8" s="34"/>
      <c r="BB8" s="34"/>
      <c r="BC8" s="34"/>
      <c r="BD8" s="107"/>
      <c r="BE8" s="34"/>
      <c r="BF8" s="34"/>
      <c r="BG8" s="34"/>
      <c r="BH8" s="34"/>
      <c r="BI8" s="107"/>
      <c r="BJ8" s="34"/>
      <c r="BK8" s="34"/>
      <c r="BL8" s="34"/>
      <c r="BM8" s="34"/>
      <c r="BN8" s="107"/>
      <c r="BO8" s="34"/>
      <c r="BP8" s="34"/>
      <c r="BQ8" s="34"/>
      <c r="BR8" s="34"/>
      <c r="BS8" s="184" t="s">
        <v>53</v>
      </c>
      <c r="BT8" s="107"/>
      <c r="BU8" s="34"/>
      <c r="BV8" s="34"/>
      <c r="BW8" s="34"/>
      <c r="BX8" s="34"/>
      <c r="BY8" s="107"/>
      <c r="BZ8" s="34"/>
      <c r="CA8" s="34"/>
      <c r="CB8" s="34"/>
      <c r="CC8" s="34"/>
      <c r="CD8" s="107"/>
      <c r="CE8" s="34"/>
      <c r="CF8" s="34"/>
      <c r="CG8" s="34"/>
      <c r="CH8" s="34"/>
      <c r="CI8" s="107"/>
      <c r="CJ8" s="34"/>
      <c r="CK8" s="34"/>
      <c r="CL8" s="34"/>
      <c r="CM8" s="34"/>
      <c r="CN8" s="107"/>
      <c r="CO8" s="34"/>
      <c r="CP8" s="34"/>
      <c r="CQ8" s="34"/>
      <c r="CR8" s="34"/>
      <c r="CS8" s="184" t="s">
        <v>53</v>
      </c>
      <c r="CT8" s="107"/>
      <c r="CU8" s="34"/>
      <c r="CV8" s="34"/>
      <c r="CW8" s="34"/>
      <c r="CX8" s="34"/>
      <c r="CY8" s="107"/>
      <c r="CZ8" s="34"/>
      <c r="DA8" s="34"/>
      <c r="DB8" s="34"/>
      <c r="DC8" s="34"/>
      <c r="DD8" s="107"/>
      <c r="DE8" s="34"/>
      <c r="DF8" s="34"/>
      <c r="DG8" s="34"/>
      <c r="DH8" s="34"/>
      <c r="DI8" s="107"/>
      <c r="DJ8" s="34"/>
      <c r="DK8" s="34"/>
      <c r="DL8" s="34"/>
      <c r="DM8" s="34"/>
      <c r="DN8" s="79"/>
      <c r="DO8" s="34"/>
      <c r="DP8" s="34"/>
      <c r="DQ8" s="34"/>
      <c r="DR8" s="78"/>
      <c r="DT8" s="65"/>
      <c r="DU8" s="63" t="s">
        <v>55</v>
      </c>
      <c r="DV8" s="63" t="s">
        <v>56</v>
      </c>
      <c r="DW8" s="63" t="s">
        <v>36</v>
      </c>
      <c r="DX8" s="63" t="s">
        <v>55</v>
      </c>
      <c r="DY8" s="63" t="s">
        <v>56</v>
      </c>
      <c r="DZ8" s="63" t="s">
        <v>37</v>
      </c>
      <c r="EA8" s="63" t="s">
        <v>55</v>
      </c>
      <c r="EB8" s="63" t="s">
        <v>56</v>
      </c>
      <c r="EC8" s="63" t="s">
        <v>38</v>
      </c>
      <c r="ED8" s="63" t="s">
        <v>55</v>
      </c>
      <c r="EE8" s="63" t="s">
        <v>56</v>
      </c>
      <c r="EF8" s="64" t="s">
        <v>39</v>
      </c>
      <c r="EH8" s="65"/>
      <c r="EI8" s="63" t="s">
        <v>40</v>
      </c>
      <c r="EJ8" s="63" t="s">
        <v>57</v>
      </c>
      <c r="EK8" s="63" t="s">
        <v>40</v>
      </c>
      <c r="EL8" s="63" t="s">
        <v>57</v>
      </c>
      <c r="EM8" s="63" t="s">
        <v>41</v>
      </c>
      <c r="EN8" s="63" t="s">
        <v>57</v>
      </c>
      <c r="EO8" s="63" t="s">
        <v>42</v>
      </c>
      <c r="EP8" s="63" t="s">
        <v>57</v>
      </c>
      <c r="EQ8" s="63" t="s">
        <v>42</v>
      </c>
      <c r="ER8" s="63" t="s">
        <v>57</v>
      </c>
      <c r="ES8" s="63" t="s">
        <v>42</v>
      </c>
      <c r="ET8" s="63" t="s">
        <v>57</v>
      </c>
      <c r="EU8" s="63" t="s">
        <v>43</v>
      </c>
      <c r="EV8" s="63" t="s">
        <v>57</v>
      </c>
      <c r="EW8" s="63" t="s">
        <v>40</v>
      </c>
      <c r="EX8" s="64" t="s">
        <v>57</v>
      </c>
      <c r="FH8" s="65"/>
      <c r="FI8" s="86" t="s">
        <v>58</v>
      </c>
      <c r="FJ8" s="86" t="s">
        <v>58</v>
      </c>
      <c r="FK8" s="86" t="s">
        <v>58</v>
      </c>
      <c r="FL8" s="86" t="s">
        <v>58</v>
      </c>
      <c r="FM8" s="86" t="s">
        <v>44</v>
      </c>
      <c r="FN8" s="86" t="s">
        <v>40</v>
      </c>
      <c r="FO8" s="86" t="s">
        <v>40</v>
      </c>
      <c r="FP8" s="86" t="s">
        <v>20</v>
      </c>
      <c r="FQ8" s="86" t="s">
        <v>40</v>
      </c>
      <c r="FR8" s="86" t="s">
        <v>40</v>
      </c>
      <c r="FS8" s="86" t="s">
        <v>21</v>
      </c>
      <c r="FT8" s="86" t="s">
        <v>59</v>
      </c>
      <c r="FU8" s="86" t="s">
        <v>59</v>
      </c>
      <c r="FV8" s="86" t="s">
        <v>22</v>
      </c>
      <c r="FW8" s="86" t="s">
        <v>60</v>
      </c>
      <c r="FX8" s="86" t="s">
        <v>60</v>
      </c>
      <c r="FY8" s="86" t="s">
        <v>60</v>
      </c>
      <c r="FZ8" s="86" t="s">
        <v>60</v>
      </c>
      <c r="GA8" s="86" t="s">
        <v>60</v>
      </c>
      <c r="GB8" s="86" t="s">
        <v>60</v>
      </c>
      <c r="GC8" s="86" t="s">
        <v>60</v>
      </c>
      <c r="GD8" s="86" t="s">
        <v>60</v>
      </c>
      <c r="GE8" s="86" t="s">
        <v>60</v>
      </c>
      <c r="GF8" s="86" t="s">
        <v>60</v>
      </c>
      <c r="GG8" s="86" t="s">
        <v>60</v>
      </c>
      <c r="GH8" s="86" t="s">
        <v>60</v>
      </c>
      <c r="GI8" s="86" t="s">
        <v>60</v>
      </c>
      <c r="GJ8" s="86" t="s">
        <v>60</v>
      </c>
      <c r="GK8" s="86" t="s">
        <v>60</v>
      </c>
      <c r="GL8" s="86" t="s">
        <v>60</v>
      </c>
      <c r="GM8" s="86" t="s">
        <v>27</v>
      </c>
      <c r="GN8" s="86" t="s">
        <v>61</v>
      </c>
      <c r="GO8" s="86" t="s">
        <v>61</v>
      </c>
      <c r="GP8" s="86" t="s">
        <v>49</v>
      </c>
      <c r="GQ8" s="87" t="s">
        <v>62</v>
      </c>
    </row>
    <row r="9" spans="1:199" ht="17.25" thickBot="1" thickTop="1">
      <c r="A9" s="11" t="s">
        <v>63</v>
      </c>
      <c r="B9" s="421" t="s">
        <v>64</v>
      </c>
      <c r="C9" s="421" t="s">
        <v>65</v>
      </c>
      <c r="D9" s="374" t="s">
        <v>66</v>
      </c>
      <c r="E9" s="295" t="s">
        <v>66</v>
      </c>
      <c r="G9" s="26" t="s">
        <v>67</v>
      </c>
      <c r="H9" s="440"/>
      <c r="I9" s="128"/>
      <c r="J9" s="203"/>
      <c r="K9" s="218" t="s">
        <v>68</v>
      </c>
      <c r="L9" s="219">
        <f>$E$163-$L$8</f>
        <v>550110</v>
      </c>
      <c r="M9" s="225">
        <f>($L$9/$E$163)*100</f>
        <v>9.215122375806665</v>
      </c>
      <c r="N9" s="222"/>
      <c r="O9" s="240"/>
      <c r="P9" s="240"/>
      <c r="Q9" s="223"/>
      <c r="R9" s="151"/>
      <c r="S9" s="33" t="s">
        <v>22</v>
      </c>
      <c r="T9" s="98">
        <f>T4*T1</f>
        <v>3612960</v>
      </c>
      <c r="U9" s="98">
        <f>T9/$I$7</f>
        <v>3010.8</v>
      </c>
      <c r="V9" s="171">
        <f>IF($I$14="no",T9/(($I$7*$I$10)/100),T9/$T$1)</f>
        <v>15.6</v>
      </c>
      <c r="W9" s="47">
        <f>(T9/$T$13)*100</f>
        <v>92.4648502356114</v>
      </c>
      <c r="X9" s="47">
        <f>(T9/$T$13)*100</f>
        <v>92.4648502356114</v>
      </c>
      <c r="Y9" s="98">
        <f>Y4*Y1</f>
        <v>3649089.6</v>
      </c>
      <c r="Z9" s="98">
        <f>Y9/$I$7</f>
        <v>3040.908</v>
      </c>
      <c r="AA9" s="171">
        <f>IF($I$14="no",Y9/(($I$7*$I$10)/100),Y9/$Y$1)</f>
        <v>15.6</v>
      </c>
      <c r="AB9" s="47">
        <f>(Y9/$Y$13)*100</f>
        <v>92.53388555104782</v>
      </c>
      <c r="AC9" s="47">
        <f>(Y9/$Y$13)*100</f>
        <v>92.53388555104782</v>
      </c>
      <c r="AD9" s="98">
        <f>AD4*AD1</f>
        <v>3685580.496</v>
      </c>
      <c r="AE9" s="98">
        <f>AD9/$I$7</f>
        <v>3071.31708</v>
      </c>
      <c r="AF9" s="171">
        <f>IF($I$14="no",AD9/(($I$7*$I$10)/100),AD9/$AD$1)</f>
        <v>15.6</v>
      </c>
      <c r="AG9" s="47">
        <f>(AD9/$AD$13)*100</f>
        <v>92.60233898283856</v>
      </c>
      <c r="AH9" s="47">
        <f>(AD9/$AD$13)*100</f>
        <v>92.60233898283856</v>
      </c>
      <c r="AI9" s="98">
        <f>AI4*AI1</f>
        <v>3722436.30096</v>
      </c>
      <c r="AJ9" s="98">
        <f>AI9/$I$7</f>
        <v>3102.0302508</v>
      </c>
      <c r="AK9" s="171">
        <f>IF($I$14="no",AI9/(($I$7*$I$10)/100),AI9/$AI$1)</f>
        <v>15.6</v>
      </c>
      <c r="AL9" s="47">
        <f>(AI9/$AI$13)*100</f>
        <v>92.67021451089195</v>
      </c>
      <c r="AM9" s="47">
        <f>(AI9/$AI$13)*100</f>
        <v>92.67021451089195</v>
      </c>
      <c r="AN9" s="98">
        <f>AN4*AN1</f>
        <v>3759660.6639696</v>
      </c>
      <c r="AO9" s="98">
        <f>AN9/$I$7</f>
        <v>3133.050553308</v>
      </c>
      <c r="AP9" s="171">
        <f>IF($I$14="no",AN9/(($I$7*$I$10)/100),AN9/$AN$1)</f>
        <v>15.6</v>
      </c>
      <c r="AQ9" s="47">
        <f>(AN9/$AN$13)*100</f>
        <v>92.73751610493571</v>
      </c>
      <c r="AR9" s="47">
        <f>(AN9/$AN$13)*100</f>
        <v>92.73751610493571</v>
      </c>
      <c r="AS9" s="33" t="s">
        <v>22</v>
      </c>
      <c r="AT9" s="98">
        <f>AT4*AT1</f>
        <v>3797257.270609296</v>
      </c>
      <c r="AU9" s="98">
        <f>AT9/$I$7</f>
        <v>3164.3810588410797</v>
      </c>
      <c r="AV9" s="171">
        <f>IF($I$14="no",AT9/(($I$7*$I$10)/100),AT9/$AT$1)</f>
        <v>15.6</v>
      </c>
      <c r="AW9" s="47">
        <f>(AT9/$AT$13)*100</f>
        <v>92.8042477241922</v>
      </c>
      <c r="AX9" s="47">
        <f>(AT9/$AT$13)*100</f>
        <v>92.8042477241922</v>
      </c>
      <c r="AY9" s="98">
        <f>AY4*AY1</f>
        <v>3835229.8433153885</v>
      </c>
      <c r="AZ9" s="98">
        <f>AY9/$I$7</f>
        <v>3196.0248694294905</v>
      </c>
      <c r="BA9" s="171">
        <f>IF($I$14="no",AY9/(($I$7*$I$10)/100),AY9/$AY$1)</f>
        <v>15.6</v>
      </c>
      <c r="BB9" s="47">
        <f>(AY9/$AY$13)*100</f>
        <v>92.87041331706163</v>
      </c>
      <c r="BC9" s="47">
        <f>(AY9/$AY$13)*100</f>
        <v>92.87041331706163</v>
      </c>
      <c r="BD9" s="98">
        <f>BD4*BD1</f>
        <v>3873582.141748543</v>
      </c>
      <c r="BE9" s="98">
        <f>BD9/$I$7</f>
        <v>3227.985118123786</v>
      </c>
      <c r="BF9" s="171">
        <f>IF($I$14="no",BD9/(($I$7*$I$10)/100),BD9/$BD$1)</f>
        <v>15.6</v>
      </c>
      <c r="BG9" s="47">
        <f>(BD9/$BD$13)*100</f>
        <v>92.93601682081322</v>
      </c>
      <c r="BH9" s="47">
        <f>(BD9/$BD$13)*100</f>
        <v>92.93601682081322</v>
      </c>
      <c r="BI9" s="98">
        <f>BI4*BI1</f>
        <v>3912317.9631660287</v>
      </c>
      <c r="BJ9" s="98">
        <f>BI9/$I$7</f>
        <v>3260.264969305024</v>
      </c>
      <c r="BK9" s="171">
        <f>IF($I$14="no",BI9/(($I$7*$I$10)/100),BI9/$BI$1)</f>
        <v>15.6</v>
      </c>
      <c r="BL9" s="47">
        <f>(BI9/$BI$13)*100</f>
        <v>93.00106216128391</v>
      </c>
      <c r="BM9" s="47">
        <f>(BI9/$BI$13)*100</f>
        <v>93.00106216128391</v>
      </c>
      <c r="BN9" s="98">
        <f>BN4*BN1</f>
        <v>3951441.1427976885</v>
      </c>
      <c r="BO9" s="98">
        <f>BN9/$I$7</f>
        <v>3292.867618998074</v>
      </c>
      <c r="BP9" s="171">
        <f>IF($I$14="no",BN9/(($I$7*$I$10)/100),BN9/$BN$1)</f>
        <v>15.6</v>
      </c>
      <c r="BQ9" s="47">
        <f>(BN9/$BN$13)*100</f>
        <v>93.06555325258495</v>
      </c>
      <c r="BR9" s="47">
        <f>(BN9/$BN$13)*100</f>
        <v>93.06555325258495</v>
      </c>
      <c r="BS9" s="33" t="s">
        <v>22</v>
      </c>
      <c r="BT9" s="98">
        <f>BT4*BT1</f>
        <v>3990955.554225665</v>
      </c>
      <c r="BU9" s="98">
        <f>BT9/$I$7</f>
        <v>3325.796295188054</v>
      </c>
      <c r="BV9" s="171">
        <f>IF($I$14="no",BT9/(($I$7*$I$10)/100),BT9/$BT$1)</f>
        <v>15.6</v>
      </c>
      <c r="BW9" s="47">
        <f>(BT9/$BT$13)*100</f>
        <v>93.12949399681611</v>
      </c>
      <c r="BX9" s="47">
        <f>(BT9/$BT$13)*100</f>
        <v>93.12949399681611</v>
      </c>
      <c r="BY9" s="98">
        <f>BY4*BY1</f>
        <v>4030865.1097679213</v>
      </c>
      <c r="BZ9" s="98">
        <f>BY9/$I$7</f>
        <v>3359.0542581399345</v>
      </c>
      <c r="CA9" s="171">
        <f>IF($I$14="no",BY9/(($I$7*$I$10)/100),BY9/$BY$1)</f>
        <v>15.6</v>
      </c>
      <c r="CB9" s="47">
        <f>(BY9/$BY$13)*100</f>
        <v>93.19288828378717</v>
      </c>
      <c r="CC9" s="47">
        <f>(BY9/$BY$13)*100</f>
        <v>93.19288828378717</v>
      </c>
      <c r="CD9" s="98">
        <f>CD4*CD1</f>
        <v>4071173.760865601</v>
      </c>
      <c r="CE9" s="98">
        <f>CD9/$I$7</f>
        <v>3392.644800721334</v>
      </c>
      <c r="CF9" s="171">
        <f>IF($I$14="no",CD9/(($I$7*$I$10)/100),CD9/$CD$1)</f>
        <v>15.6</v>
      </c>
      <c r="CG9" s="47">
        <f>(CD9/$CD$13)*100</f>
        <v>93.25573999074707</v>
      </c>
      <c r="CH9" s="47">
        <f>(CD9/$CD$13)*100</f>
        <v>93.25573999074707</v>
      </c>
      <c r="CI9" s="98">
        <f>CI4*CI1</f>
        <v>4111885.498474257</v>
      </c>
      <c r="CJ9" s="98">
        <f>CI9/$I$7</f>
        <v>3426.5712487285477</v>
      </c>
      <c r="CK9" s="171">
        <f>IF($I$14="no",CI9/(($I$7*$I$10)/100),CI9/$CI$1)</f>
        <v>15.6</v>
      </c>
      <c r="CL9" s="47">
        <f>(CI9/$CI$13)*100</f>
        <v>93.31805298212021</v>
      </c>
      <c r="CM9" s="47">
        <f>(CI9/$CI$13)*100</f>
        <v>93.31805298212021</v>
      </c>
      <c r="CN9" s="98">
        <f>CN4*CN1</f>
        <v>4153004.353459</v>
      </c>
      <c r="CO9" s="98">
        <f>CN9/$I$7</f>
        <v>3460.8369612158335</v>
      </c>
      <c r="CP9" s="171">
        <f>IF($I$14="no",CN9/(($I$7*$I$10)/100),CN9/$CN$1)</f>
        <v>15.6</v>
      </c>
      <c r="CQ9" s="47">
        <f>(CN9/$CN$13)*100</f>
        <v>93.37983110924996</v>
      </c>
      <c r="CR9" s="47">
        <f>(CN9/$CN$13)*100</f>
        <v>93.37983110924996</v>
      </c>
      <c r="CS9" s="33" t="s">
        <v>22</v>
      </c>
      <c r="CT9" s="98">
        <f>CT4*CT1</f>
        <v>4194534.39699359</v>
      </c>
      <c r="CU9" s="98">
        <f>CT9/$I$7</f>
        <v>3495.4453308279913</v>
      </c>
      <c r="CV9" s="171">
        <f>IF($I$14="no",CT9/(($I$7*$I$10)/100),CT9/$CT$1)</f>
        <v>15.599999999999998</v>
      </c>
      <c r="CW9" s="47">
        <f>(CT9/$CT$13)*100</f>
        <v>93.44107821014947</v>
      </c>
      <c r="CX9" s="47">
        <f>(CT9/$CT$13)*100</f>
        <v>93.44107821014947</v>
      </c>
      <c r="CY9" s="98">
        <f>CY4*CY1</f>
        <v>4236479.740963526</v>
      </c>
      <c r="CZ9" s="98">
        <f>CY9/$I$7</f>
        <v>3530.3997841362716</v>
      </c>
      <c r="DA9" s="171">
        <f>IF($I$14="no",CY9/(($I$7*$I$10)/100),CY9/$CY$1)</f>
        <v>15.6</v>
      </c>
      <c r="DB9" s="47">
        <f>(CY9/$CY$13)*100</f>
        <v>93.50179810925928</v>
      </c>
      <c r="DC9" s="47">
        <f>(CY9/$CY$13)*100</f>
        <v>93.50179810925928</v>
      </c>
      <c r="DD9" s="98">
        <f>DD4*DD1</f>
        <v>4278844.538373162</v>
      </c>
      <c r="DE9" s="98">
        <f>DD9/$I$7</f>
        <v>3565.703781977635</v>
      </c>
      <c r="DF9" s="171">
        <f>IF($I$14="no",DD9/(($I$7*$I$10)/100),DD9/$DD$1)</f>
        <v>15.600000000000001</v>
      </c>
      <c r="DG9" s="47">
        <f>(DD9/$DD$13)*100</f>
        <v>93.56199461721206</v>
      </c>
      <c r="DH9" s="47">
        <f>(DD9/$DD$13)*100</f>
        <v>93.56199461721206</v>
      </c>
      <c r="DI9" s="98">
        <f>DI4*DI1</f>
        <v>4321632.983756893</v>
      </c>
      <c r="DJ9" s="98">
        <f>DI9/$I$7</f>
        <v>3601.3608197974113</v>
      </c>
      <c r="DK9" s="171">
        <f>IF($I$14="no",DI9/(($I$7*$I$10)/100),DI9/$DI$1)</f>
        <v>15.6</v>
      </c>
      <c r="DL9" s="47">
        <f>(DI9/$DI$13)*100</f>
        <v>93.6216715306041</v>
      </c>
      <c r="DM9" s="47">
        <f>(DI9/$DI$13)*100</f>
        <v>93.6216715306041</v>
      </c>
      <c r="DN9" s="103">
        <f>DN4*DN1</f>
        <v>4364849.313594462</v>
      </c>
      <c r="DO9" s="98">
        <f>DN9/$I$7</f>
        <v>3637.3744279953853</v>
      </c>
      <c r="DP9" s="171">
        <f>IF($I$14="no",DN9/(($I$7*$I$10)/100),DN9/$DN$1)</f>
        <v>15.600000000000001</v>
      </c>
      <c r="DQ9" s="47">
        <f>(DN9/$DN$13)*100</f>
        <v>93.6808326317736</v>
      </c>
      <c r="DR9" s="50">
        <f>(DN9/$DN$13)*100</f>
        <v>93.6808326317736</v>
      </c>
      <c r="DT9" s="66" t="s">
        <v>69</v>
      </c>
      <c r="DU9" s="67" t="s">
        <v>70</v>
      </c>
      <c r="DV9" s="67" t="s">
        <v>70</v>
      </c>
      <c r="DW9" s="67" t="s">
        <v>70</v>
      </c>
      <c r="DX9" s="67" t="s">
        <v>70</v>
      </c>
      <c r="DY9" s="67" t="s">
        <v>70</v>
      </c>
      <c r="DZ9" s="67" t="s">
        <v>70</v>
      </c>
      <c r="EA9" s="67" t="s">
        <v>70</v>
      </c>
      <c r="EB9" s="67" t="s">
        <v>70</v>
      </c>
      <c r="EC9" s="67" t="s">
        <v>70</v>
      </c>
      <c r="ED9" s="67" t="s">
        <v>70</v>
      </c>
      <c r="EE9" s="67" t="s">
        <v>70</v>
      </c>
      <c r="EF9" s="68" t="s">
        <v>70</v>
      </c>
      <c r="EH9" s="66" t="s">
        <v>69</v>
      </c>
      <c r="EI9" s="67" t="s">
        <v>71</v>
      </c>
      <c r="EJ9" s="67" t="s">
        <v>71</v>
      </c>
      <c r="EK9" s="67" t="s">
        <v>71</v>
      </c>
      <c r="EL9" s="67" t="s">
        <v>71</v>
      </c>
      <c r="EM9" s="67" t="s">
        <v>71</v>
      </c>
      <c r="EN9" s="67" t="s">
        <v>71</v>
      </c>
      <c r="EO9" s="67" t="s">
        <v>71</v>
      </c>
      <c r="EP9" s="67" t="s">
        <v>71</v>
      </c>
      <c r="EQ9" s="67" t="s">
        <v>71</v>
      </c>
      <c r="ER9" s="67" t="s">
        <v>71</v>
      </c>
      <c r="ES9" s="67" t="s">
        <v>71</v>
      </c>
      <c r="ET9" s="67" t="s">
        <v>71</v>
      </c>
      <c r="EU9" s="67" t="s">
        <v>71</v>
      </c>
      <c r="EV9" s="67" t="s">
        <v>71</v>
      </c>
      <c r="EW9" s="67" t="s">
        <v>71</v>
      </c>
      <c r="EX9" s="68" t="s">
        <v>71</v>
      </c>
      <c r="FH9" s="66" t="s">
        <v>69</v>
      </c>
      <c r="FI9" s="88" t="s">
        <v>72</v>
      </c>
      <c r="FJ9" s="88" t="s">
        <v>73</v>
      </c>
      <c r="FK9" s="88" t="s">
        <v>74</v>
      </c>
      <c r="FL9" s="88" t="s">
        <v>75</v>
      </c>
      <c r="FM9" s="86" t="s">
        <v>58</v>
      </c>
      <c r="FN9" s="88" t="s">
        <v>76</v>
      </c>
      <c r="FO9" s="88" t="s">
        <v>77</v>
      </c>
      <c r="FP9" s="88" t="s">
        <v>40</v>
      </c>
      <c r="FQ9" s="88" t="s">
        <v>78</v>
      </c>
      <c r="FR9" s="88" t="s">
        <v>79</v>
      </c>
      <c r="FS9" s="88" t="s">
        <v>40</v>
      </c>
      <c r="FT9" s="88" t="s">
        <v>76</v>
      </c>
      <c r="FU9" s="88" t="s">
        <v>77</v>
      </c>
      <c r="FV9" s="86" t="s">
        <v>59</v>
      </c>
      <c r="FW9" s="88" t="s">
        <v>80</v>
      </c>
      <c r="FX9" s="88" t="s">
        <v>81</v>
      </c>
      <c r="FY9" s="88" t="s">
        <v>78</v>
      </c>
      <c r="FZ9" s="88" t="s">
        <v>79</v>
      </c>
      <c r="GA9" s="88" t="s">
        <v>80</v>
      </c>
      <c r="GB9" s="88" t="s">
        <v>81</v>
      </c>
      <c r="GC9" s="88" t="s">
        <v>78</v>
      </c>
      <c r="GD9" s="88" t="s">
        <v>79</v>
      </c>
      <c r="GE9" s="88" t="s">
        <v>80</v>
      </c>
      <c r="GF9" s="88" t="s">
        <v>81</v>
      </c>
      <c r="GG9" s="88" t="s">
        <v>78</v>
      </c>
      <c r="GH9" s="88" t="s">
        <v>79</v>
      </c>
      <c r="GI9" s="88" t="s">
        <v>80</v>
      </c>
      <c r="GJ9" s="88" t="s">
        <v>81</v>
      </c>
      <c r="GK9" s="88" t="s">
        <v>78</v>
      </c>
      <c r="GL9" s="88" t="s">
        <v>79</v>
      </c>
      <c r="GM9" s="86" t="s">
        <v>60</v>
      </c>
      <c r="GN9" s="88" t="s">
        <v>82</v>
      </c>
      <c r="GO9" s="88" t="s">
        <v>83</v>
      </c>
      <c r="GP9" s="86" t="s">
        <v>61</v>
      </c>
      <c r="GQ9" s="87" t="s">
        <v>27</v>
      </c>
    </row>
    <row r="10" spans="1:200" ht="16.5" thickTop="1">
      <c r="A10" s="474">
        <v>595</v>
      </c>
      <c r="B10" s="402" t="s">
        <v>84</v>
      </c>
      <c r="C10" s="405" t="s">
        <v>85</v>
      </c>
      <c r="D10" s="470">
        <v>1400</v>
      </c>
      <c r="E10" s="367">
        <f>D10*A10</f>
        <v>833000</v>
      </c>
      <c r="G10" s="394" t="s">
        <v>86</v>
      </c>
      <c r="H10" s="440"/>
      <c r="I10" s="499">
        <v>19300</v>
      </c>
      <c r="J10" s="203"/>
      <c r="K10" s="154" t="s">
        <v>87</v>
      </c>
      <c r="L10" s="157"/>
      <c r="M10" s="198" t="s">
        <v>88</v>
      </c>
      <c r="N10" s="156"/>
      <c r="O10" s="241"/>
      <c r="P10" s="82" t="s">
        <v>89</v>
      </c>
      <c r="Q10" s="390" t="s">
        <v>89</v>
      </c>
      <c r="R10" s="151"/>
      <c r="S10" s="33" t="s">
        <v>90</v>
      </c>
      <c r="T10" s="460">
        <f>($I$7*$I$17*$I$18*$I$19)-($I$20*$I$7*$I$18*$I$19)</f>
        <v>207360</v>
      </c>
      <c r="U10" s="460">
        <f>T10/$I$7</f>
        <v>172.8</v>
      </c>
      <c r="V10" s="464">
        <f>IF($I$14="no",T10/(($I$7*$I$10)/100),T10/$T$1)</f>
        <v>0.8953367875647669</v>
      </c>
      <c r="W10" s="47">
        <f>(T10/$T$13)*100</f>
        <v>5.306870639269844</v>
      </c>
      <c r="X10" s="47">
        <f>(T10/$T$13)*100</f>
        <v>5.306870639269844</v>
      </c>
      <c r="Y10" s="460">
        <f>($I$7*$I$17*$I$18*$I$19)-($I$20*$I$7*$I$18*$I$19)</f>
        <v>207360</v>
      </c>
      <c r="Z10" s="460">
        <f>Y10/$I$7</f>
        <v>172.8</v>
      </c>
      <c r="AA10" s="464">
        <f>IF($I$14="no",Y10/(($I$7*$I$10)/100),Y10/$Y$1)</f>
        <v>0.8864720668958087</v>
      </c>
      <c r="AB10" s="47">
        <f>(Y10/$Y$13)*100</f>
        <v>5.2582503065601</v>
      </c>
      <c r="AC10" s="47">
        <f>(Y10/$Y$13)*100</f>
        <v>5.2582503065601</v>
      </c>
      <c r="AD10" s="460">
        <f>($I$7*$I$17*$I$18*$I$19)-($I$20*$I$7*$I$18*$I$19)</f>
        <v>207360</v>
      </c>
      <c r="AE10" s="460">
        <f>AD10/$I$7</f>
        <v>172.8</v>
      </c>
      <c r="AF10" s="464">
        <f>IF($I$14="no",AD10/(($I$7*$I$10)/100),AD10/$AD$1)</f>
        <v>0.8776951157384245</v>
      </c>
      <c r="AG10" s="47">
        <f>(AD10/$AD$13)*100</f>
        <v>5.210039784050726</v>
      </c>
      <c r="AH10" s="47">
        <f>(AD10/$AD$13)*100</f>
        <v>5.210039784050726</v>
      </c>
      <c r="AI10" s="460">
        <f>($I$7*$I$17*$I$18*$I$19)-($I$20*$I$7*$I$18*$I$19)</f>
        <v>207360</v>
      </c>
      <c r="AJ10" s="460">
        <f>AI10/$I$7</f>
        <v>172.8</v>
      </c>
      <c r="AK10" s="464">
        <f>IF($I$14="no",AI10/(($I$7*$I$10)/100),AI10/$AI$1)</f>
        <v>0.8690050650875489</v>
      </c>
      <c r="AL10" s="47">
        <f>(AI10/$AI$13)*100</f>
        <v>5.162236268763769</v>
      </c>
      <c r="AM10" s="47">
        <f>(AI10/$AI$13)*100</f>
        <v>5.162236268763769</v>
      </c>
      <c r="AN10" s="460">
        <f>($I$7*$I$17*$I$18*$I$19)-($I$20*$I$7*$I$18*$I$19)</f>
        <v>207360</v>
      </c>
      <c r="AO10" s="460">
        <f>AN10/$I$7</f>
        <v>172.8</v>
      </c>
      <c r="AP10" s="464">
        <f>IF($I$14="no",AN10/(($I$7*$I$10)/100),AN10/$AN$1)</f>
        <v>0.8604010545421277</v>
      </c>
      <c r="AQ10" s="47">
        <f>(AN10/$AN$13)*100</f>
        <v>5.114836964891297</v>
      </c>
      <c r="AR10" s="47">
        <f>(AN10/$AN$13)*100</f>
        <v>5.114836964891297</v>
      </c>
      <c r="AS10" s="33" t="s">
        <v>90</v>
      </c>
      <c r="AT10" s="460">
        <f>($I$7*$I$17*$I$18*$I$19)-($I$20*$I$7*$I$18*$I$19)</f>
        <v>207360</v>
      </c>
      <c r="AU10" s="460">
        <f>AT10/$I$7</f>
        <v>172.8</v>
      </c>
      <c r="AV10" s="464">
        <f>IF($I$14="no",AT10/(($I$7*$I$10)/100),AT10/$AT$1)</f>
        <v>0.8518822322199284</v>
      </c>
      <c r="AW10" s="47">
        <f>(AT10/$AT$13)*100</f>
        <v>5.067839084024106</v>
      </c>
      <c r="AX10" s="47">
        <f>(AT10/$AT$13)*100</f>
        <v>5.067839084024106</v>
      </c>
      <c r="AY10" s="460">
        <f>($I$7*$I$17*$I$18*$I$19)-($I$20*$I$7*$I$18*$I$19)</f>
        <v>207360</v>
      </c>
      <c r="AZ10" s="460">
        <f>AY10/$I$7</f>
        <v>172.8</v>
      </c>
      <c r="BA10" s="464">
        <f>IF($I$14="no",AY10/(($I$7*$I$10)/100),AY10/$AY$1)</f>
        <v>0.8434477546731965</v>
      </c>
      <c r="BB10" s="47">
        <f>(AY10/$AY$13)*100</f>
        <v>5.021239845374832</v>
      </c>
      <c r="BC10" s="47">
        <f>(AY10/$AY$13)*100</f>
        <v>5.021239845374832</v>
      </c>
      <c r="BD10" s="460">
        <f>($I$7*$I$17*$I$18*$I$19)-($I$20*$I$7*$I$18*$I$19)</f>
        <v>207360</v>
      </c>
      <c r="BE10" s="460">
        <f>BD10/$I$7</f>
        <v>172.8</v>
      </c>
      <c r="BF10" s="464">
        <f>IF($I$14="no",BD10/(($I$7*$I$10)/100),BD10/$BD$1)</f>
        <v>0.835096786805145</v>
      </c>
      <c r="BG10" s="47">
        <f>(BD10/$BD$13)*100</f>
        <v>4.975036475995515</v>
      </c>
      <c r="BH10" s="47">
        <f>(BD10/$BD$13)*100</f>
        <v>4.975036475995515</v>
      </c>
      <c r="BI10" s="460">
        <f>($I$7*$I$17*$I$18*$I$19)-($I$20*$I$7*$I$18*$I$19)</f>
        <v>207360</v>
      </c>
      <c r="BJ10" s="460">
        <f>BI10/$I$7</f>
        <v>172.8</v>
      </c>
      <c r="BK10" s="464">
        <f>IF($I$14="no",BI10/(($I$7*$I$10)/100),BI10/$BI$1)</f>
        <v>0.8268285017872722</v>
      </c>
      <c r="BL10" s="47">
        <f>(BI10/$BI$13)*100</f>
        <v>4.929226210989702</v>
      </c>
      <c r="BM10" s="47">
        <f>(BI10/$BI$13)*100</f>
        <v>4.929226210989702</v>
      </c>
      <c r="BN10" s="460">
        <f>($I$7*$I$17*$I$18*$I$19)-($I$20*$I$7*$I$18*$I$19)</f>
        <v>207360</v>
      </c>
      <c r="BO10" s="460">
        <f>BN10/$I$7</f>
        <v>172.8</v>
      </c>
      <c r="BP10" s="464">
        <f>IF($I$14="no",BN10/(($I$7*$I$10)/100),BN10/$BN$1)</f>
        <v>0.8186420809774974</v>
      </c>
      <c r="BQ10" s="47">
        <f>(BN10/$BN$13)*100</f>
        <v>4.883806293719118</v>
      </c>
      <c r="BR10" s="47">
        <f>(BN10/$BN$13)*100</f>
        <v>4.883806293719118</v>
      </c>
      <c r="BS10" s="33" t="s">
        <v>90</v>
      </c>
      <c r="BT10" s="460">
        <f>($I$7*$I$17*$I$18*$I$19)-($I$20*$I$7*$I$18*$I$19)</f>
        <v>207360</v>
      </c>
      <c r="BU10" s="460">
        <f>BT10/$I$7</f>
        <v>172.8</v>
      </c>
      <c r="BV10" s="464">
        <f>IF($I$14="no",BT10/(($I$7*$I$10)/100),BT10/$BT$1)</f>
        <v>0.8105367138391063</v>
      </c>
      <c r="BW10" s="47">
        <f>(BT10/$BT$13)*100</f>
        <v>4.838773976005007</v>
      </c>
      <c r="BX10" s="47">
        <f>(BT10/$BT$13)*100</f>
        <v>4.838773976005007</v>
      </c>
      <c r="BY10" s="460">
        <f>($I$7*$I$17*$I$18*$I$19)-($I$20*$I$7*$I$18*$I$19)</f>
        <v>207360</v>
      </c>
      <c r="BZ10" s="460">
        <f>BY10/$I$7</f>
        <v>172.8</v>
      </c>
      <c r="CA10" s="464">
        <f>IF($I$14="no",BY10/(($I$7*$I$10)/100),BY10/$BY$1)</f>
        <v>0.8025115978605014</v>
      </c>
      <c r="CB10" s="47">
        <f>(BY10/$BY$13)*100</f>
        <v>4.794126518324182</v>
      </c>
      <c r="CC10" s="47">
        <f>(BY10/$BY$13)*100</f>
        <v>4.794126518324182</v>
      </c>
      <c r="CD10" s="460">
        <f>($I$7*$I$17*$I$18*$I$19)-($I$20*$I$7*$I$18*$I$19)</f>
        <v>207360</v>
      </c>
      <c r="CE10" s="460">
        <f>CD10/$I$7</f>
        <v>172.8</v>
      </c>
      <c r="CF10" s="464">
        <f>IF($I$14="no",CD10/(($I$7*$I$10)/100),CD10/$CD$1)</f>
        <v>0.794565938475744</v>
      </c>
      <c r="CG10" s="47">
        <f>(CD10/$CD$13)*100</f>
        <v>4.749861189999867</v>
      </c>
      <c r="CH10" s="47">
        <f>(CD10/$CD$13)*100</f>
        <v>4.749861189999867</v>
      </c>
      <c r="CI10" s="460">
        <f>($I$7*$I$17*$I$18*$I$19)-($I$20*$I$7*$I$18*$I$19)</f>
        <v>207360</v>
      </c>
      <c r="CJ10" s="460">
        <f>CI10/$I$7</f>
        <v>172.8</v>
      </c>
      <c r="CK10" s="464">
        <f>IF($I$14="no",CI10/(($I$7*$I$10)/100),CI10/$CI$1)</f>
        <v>0.786698948985885</v>
      </c>
      <c r="CL10" s="47">
        <f>(CI10/$CI$13)*100</f>
        <v>4.705975269387379</v>
      </c>
      <c r="CM10" s="47">
        <f>(CI10/$CI$13)*100</f>
        <v>4.705975269387379</v>
      </c>
      <c r="CN10" s="460">
        <f>($I$7*$I$17*$I$18*$I$19)-($I$20*$I$7*$I$18*$I$19)</f>
        <v>207360</v>
      </c>
      <c r="CO10" s="460">
        <f>CN10/$I$7</f>
        <v>172.8</v>
      </c>
      <c r="CP10" s="464">
        <f>IF($I$14="no",CN10/(($I$7*$I$10)/100),CN10/$CN$1)</f>
        <v>0.7789098504810742</v>
      </c>
      <c r="CQ10" s="47">
        <f>(CN10/$CN$13)*100</f>
        <v>4.662466044054734</v>
      </c>
      <c r="CR10" s="47">
        <f>(CN10/$CN$13)*100</f>
        <v>4.662466044054734</v>
      </c>
      <c r="CS10" s="33" t="s">
        <v>90</v>
      </c>
      <c r="CT10" s="460">
        <f>($I$7*$I$17*$I$18*$I$19)-($I$20*$I$7*$I$18*$I$19)</f>
        <v>207360</v>
      </c>
      <c r="CU10" s="460">
        <f>CT10/$I$7</f>
        <v>172.8</v>
      </c>
      <c r="CV10" s="464">
        <f>IF($I$14="no",CT10/(($I$7*$I$10)/100),CT10/$CT$1)</f>
        <v>0.7711978717634398</v>
      </c>
      <c r="CW10" s="47">
        <f>(CT10/$CT$13)*100</f>
        <v>4.619330810958232</v>
      </c>
      <c r="CX10" s="47">
        <f>(CT10/$CT$13)*100</f>
        <v>4.619330810958232</v>
      </c>
      <c r="CY10" s="460">
        <f>($I$7*$I$17*$I$18*$I$19)-($I$20*$I$7*$I$18*$I$19)</f>
        <v>207360</v>
      </c>
      <c r="CZ10" s="460">
        <f>CY10/$I$7</f>
        <v>172.8</v>
      </c>
      <c r="DA10" s="464">
        <f>IF($I$14="no",CY10/(($I$7*$I$10)/100),CY10/$CY$1)</f>
        <v>0.7635622492707325</v>
      </c>
      <c r="DB10" s="47">
        <f>(CY10/$CY$13)*100</f>
        <v>4.576566876613073</v>
      </c>
      <c r="DC10" s="47">
        <f>(CY10/$CY$13)*100</f>
        <v>4.576566876613073</v>
      </c>
      <c r="DD10" s="460">
        <f>($I$7*$I$17*$I$18*$I$19)-($I$20*$I$7*$I$18*$I$19)</f>
        <v>207360</v>
      </c>
      <c r="DE10" s="460">
        <f>DD10/$I$7</f>
        <v>172.8</v>
      </c>
      <c r="DF10" s="464">
        <f>IF($I$14="no",DD10/(($I$7*$I$10)/100),DD10/$DD$1)</f>
        <v>0.7560022270007252</v>
      </c>
      <c r="DG10" s="47">
        <f>(DD10/$DD$13)*100</f>
        <v>4.534171557259113</v>
      </c>
      <c r="DH10" s="47">
        <f>(DD10/$DD$13)*100</f>
        <v>4.534171557259113</v>
      </c>
      <c r="DI10" s="460">
        <f>($I$7*$I$17*$I$18*$I$19)-($I$20*$I$7*$I$18*$I$19)</f>
        <v>207360</v>
      </c>
      <c r="DJ10" s="460">
        <f>DI10/$I$7</f>
        <v>172.8</v>
      </c>
      <c r="DK10" s="464">
        <f>IF($I$14="no",DI10/(($I$7*$I$10)/100),DI10/$DI$1)</f>
        <v>0.7485170564363616</v>
      </c>
      <c r="DL10" s="47">
        <f>(DI10/$DI$13)*100</f>
        <v>4.492142179021775</v>
      </c>
      <c r="DM10" s="47">
        <f>(DI10/$DI$13)*100</f>
        <v>4.492142179021775</v>
      </c>
      <c r="DN10" s="461">
        <f>($I$7*$I$17*$I$18*$I$19)-($I$20*$I$7*$I$18*$I$19)</f>
        <v>207360</v>
      </c>
      <c r="DO10" s="460">
        <f>DN10/$I$7</f>
        <v>172.8</v>
      </c>
      <c r="DP10" s="464">
        <f>IF($I$14="no",DN10/(($I$7*$I$10)/100),DN10/$DN$1)</f>
        <v>0.7411059964716451</v>
      </c>
      <c r="DQ10" s="47">
        <f>(DN10/$DN$13)*100</f>
        <v>4.450476078068204</v>
      </c>
      <c r="DR10" s="50">
        <f>(DN10/$DN$13)*100</f>
        <v>4.450476078068204</v>
      </c>
      <c r="DT10" s="59">
        <v>1</v>
      </c>
      <c r="DU10" s="10">
        <f aca="true" t="shared" si="0" ref="DU10:DU29">IF($DT10&gt;$H$91,0,-PPMT($I$91,$DT10,$H$91,($I$77*$E$13),0,0))</f>
        <v>20836.3421526109</v>
      </c>
      <c r="DV10" s="10">
        <f aca="true" t="shared" si="1" ref="DV10:DV29">IF($DT10&gt;$H$91,0,-IPMT($I$91,$DT10,$H$91,($I$77*$E$13),0,0))</f>
        <v>85680</v>
      </c>
      <c r="DW10" s="8">
        <f aca="true" t="shared" si="2" ref="DW10:DW29">DU10+DV10</f>
        <v>106516.3421526109</v>
      </c>
      <c r="DX10" s="10">
        <f aca="true" t="shared" si="3" ref="DX10:DX29">IF($DT10&gt;$H$92,0,-PPMT($I$92,$DT10,$H$92,($I$78*$E$19),0,0))</f>
        <v>320817.51735695003</v>
      </c>
      <c r="DY10" s="10">
        <f aca="true" t="shared" si="4" ref="DY10:DY29">IF($DT10&gt;$H$92,0,-IPMT($I$92,$DT10,$H$92,($I$78*$E$19),0,0))</f>
        <v>172800</v>
      </c>
      <c r="DZ10" s="8">
        <f aca="true" t="shared" si="5" ref="DZ10:DZ29">DX10+DY10</f>
        <v>493617.51735695003</v>
      </c>
      <c r="EA10" s="10">
        <f aca="true" t="shared" si="6" ref="EA10:EA29">IF($DT10&gt;$H$93,0,-PPMT($I$93,$DT10,$H$93,($I$79*($E$29+$E$38+$E$47+$E$61+$E$70+$E$78+$E$88+$E$99+$E$108+$E$119+$E$126+$E$161+$E$162)),0,0))</f>
        <v>45705.46737657243</v>
      </c>
      <c r="EB10" s="10">
        <f aca="true" t="shared" si="7" ref="EB10:EB29">IF($DT10&gt;$H$93,0,-IPMT($I$93,$DT10,$H$93,($I$79*($E$29+$E$38+$E$47+$E$61+$E$70+$E$78+$E$88+$E$99+$E$108+$E$119+$E$126+$E$161+$E$162)),0,0))</f>
        <v>187942.99000000002</v>
      </c>
      <c r="EC10" s="8">
        <f aca="true" t="shared" si="8" ref="EC10:EC29">EA10+EB10</f>
        <v>233648.45737657245</v>
      </c>
      <c r="ED10" s="10">
        <f aca="true" t="shared" si="9" ref="ED10:ED29">IF($DT10&gt;$H$94,0,-PPMT($I$94,$DT10,$H$94,($I$80*$E$152),0,0))</f>
        <v>46859.40862894951</v>
      </c>
      <c r="EE10" s="10">
        <f aca="true" t="shared" si="10" ref="EE10:EE29">IF($DT10&gt;$H$94,0,-IPMT($I$94,$DT10,$H$94,($I$80*$E$152),0,0))</f>
        <v>25239.6</v>
      </c>
      <c r="EF10" s="69">
        <f aca="true" t="shared" si="11" ref="EF10:EF29">ED10+EE10</f>
        <v>72099.00862894951</v>
      </c>
      <c r="EH10" s="59">
        <v>1</v>
      </c>
      <c r="EI10" s="10">
        <v>0</v>
      </c>
      <c r="EJ10" s="8">
        <v>0</v>
      </c>
      <c r="EK10" s="10">
        <v>0</v>
      </c>
      <c r="EL10" s="10">
        <v>0</v>
      </c>
      <c r="EM10" s="10">
        <v>0</v>
      </c>
      <c r="EN10" s="10">
        <v>0</v>
      </c>
      <c r="EO10" s="10">
        <v>0</v>
      </c>
      <c r="EP10" s="10">
        <v>0</v>
      </c>
      <c r="EQ10" s="10">
        <v>0</v>
      </c>
      <c r="ER10" s="10">
        <v>0</v>
      </c>
      <c r="ES10" s="10">
        <v>0</v>
      </c>
      <c r="ET10" s="10">
        <v>0</v>
      </c>
      <c r="EU10" s="10">
        <v>0</v>
      </c>
      <c r="EV10" s="10">
        <v>0</v>
      </c>
      <c r="EW10" s="10">
        <v>0</v>
      </c>
      <c r="EX10" s="70">
        <v>0</v>
      </c>
      <c r="FH10" s="59">
        <v>1</v>
      </c>
      <c r="FI10" s="10" t="b">
        <f aca="true" t="shared" si="12" ref="FI10:FI24">IF($H$125="yes",IF($I$125=15,SLN(($E$29+$E$70+$E$78+$E$88+$E$99+$E$108+$E$119+$E$126+$E$161+$E$162),0,$I$125),0))</f>
        <v>0</v>
      </c>
      <c r="FJ10" s="10">
        <f aca="true" t="shared" si="13" ref="FJ10:FJ24">IF($H$125="no",IF($I$125=15,SYD(($E$29+$E$70+$E$78+$E$88+$E$99+$E$108+$E$119+$E$126+$E$161+$E$162),0,$I$125,$FH10),0))</f>
        <v>232668</v>
      </c>
      <c r="FK10" s="10" t="b">
        <f aca="true" t="shared" si="14" ref="FK10:FK29">IF($H$125="yes",IF($I$125=20,SLN(($E$29+$E$70+$E$78+$E$88+$E$99+$E$108+$E$119+$E$126+$E$161+$E$162),0,$I$125),0))</f>
        <v>0</v>
      </c>
      <c r="FL10" s="10">
        <f aca="true" t="shared" si="15" ref="FL10:FL29">IF($H$125="no",IF($I$125=20,SYD(($E$29+$E$70+$E$78+$E$88+$E$99+$E$108+$E$119+$E$126+$E$161+$E$162),0,$I$125,$FH10),0))</f>
        <v>0</v>
      </c>
      <c r="FM10" s="8">
        <f aca="true" t="shared" si="16" ref="FM10:FM29">FL10+FK10+FJ10+FI10</f>
        <v>232668</v>
      </c>
      <c r="FN10" s="8" t="b">
        <f aca="true" t="shared" si="17" ref="FN10:FN19">IF($H$121="yes",IF($I$121=10,SLN($E$38,0,$I$121),0))</f>
        <v>0</v>
      </c>
      <c r="FO10" s="8">
        <f aca="true" t="shared" si="18" ref="FO10:FO19">IF($H$121="no",IF($I$121=10,SYD($E$38,0,$I$121,$FH10),0))</f>
        <v>14463.636363636364</v>
      </c>
      <c r="FP10" s="8">
        <f aca="true" t="shared" si="19" ref="FP10:FP29">FO10+FN10</f>
        <v>14463.636363636364</v>
      </c>
      <c r="FQ10" s="8" t="b">
        <f>IF($H$122="yes",IF($I$122=5,SLN($E$47,0,$I$122),0))</f>
        <v>0</v>
      </c>
      <c r="FR10" s="8">
        <f>IF($H$122="no",IF($I$122=5,SYD($E$47,0,$I$122,$FH10),0))</f>
        <v>32500</v>
      </c>
      <c r="FS10" s="8">
        <f aca="true" t="shared" si="20" ref="FS10:FS29">FR10+FQ10</f>
        <v>32500</v>
      </c>
      <c r="FT10" s="8" t="b">
        <f aca="true" t="shared" si="21" ref="FT10:FT19">IF($H$123="yes",IF($I$123=10,SLN($E$61,0,$I$123),0))</f>
        <v>0</v>
      </c>
      <c r="FU10" s="8">
        <f aca="true" t="shared" si="22" ref="FU10:FU19">IF($H$123="no",IF($I$123=10,SYD($E$61,0,$I$123,$FH10),0))</f>
        <v>31400</v>
      </c>
      <c r="FV10" s="8">
        <f aca="true" t="shared" si="23" ref="FV10:FV29">FU10+FT10</f>
        <v>31400</v>
      </c>
      <c r="FW10" s="8" t="b">
        <f>IF($H$124="yes",IF($I$124=3,SLN($E$152,0,$I$124),0))</f>
        <v>0</v>
      </c>
      <c r="FX10" s="8">
        <f>IF($H$124="no",IF($I$124=3,SYD($E$152,0,$I$124,$FH10),0))</f>
        <v>175275</v>
      </c>
      <c r="FY10" s="10" t="b">
        <f>IF($H$124="yes",IF($I$124=5,SLN($E$152,0,$I$124),0))</f>
        <v>0</v>
      </c>
      <c r="FZ10" s="10">
        <f>IF($H$124="no",IF($I$124=5,SYD($E$152,0,$I$124,$FH10),0))</f>
        <v>0</v>
      </c>
      <c r="GA10" s="8">
        <v>0</v>
      </c>
      <c r="GB10" s="8">
        <v>0</v>
      </c>
      <c r="GC10" s="10">
        <v>0</v>
      </c>
      <c r="GD10" s="10">
        <v>0</v>
      </c>
      <c r="GE10" s="8">
        <v>0</v>
      </c>
      <c r="GF10" s="8">
        <v>0</v>
      </c>
      <c r="GG10" s="10">
        <v>0</v>
      </c>
      <c r="GH10" s="10">
        <v>0</v>
      </c>
      <c r="GI10" s="8">
        <v>0</v>
      </c>
      <c r="GJ10" s="8">
        <v>0</v>
      </c>
      <c r="GK10" s="10">
        <v>0</v>
      </c>
      <c r="GL10" s="10">
        <v>0</v>
      </c>
      <c r="GM10" s="8">
        <f aca="true" t="shared" si="24" ref="GM10:GM29">SUM(FW10:GL10)</f>
        <v>175275</v>
      </c>
      <c r="GN10" s="8">
        <v>0</v>
      </c>
      <c r="GO10" s="10">
        <v>0</v>
      </c>
      <c r="GP10" s="8">
        <f>GN10+GO10</f>
        <v>0</v>
      </c>
      <c r="GQ10" s="25">
        <f aca="true" t="shared" si="25" ref="GQ10:GQ29">GP10+GM10+FV10+FS10+FP10+FM10</f>
        <v>486306.63636363635</v>
      </c>
      <c r="GR10" s="109"/>
    </row>
    <row r="11" spans="1:199" ht="15.75">
      <c r="A11" s="475">
        <v>85</v>
      </c>
      <c r="B11" s="403" t="s">
        <v>91</v>
      </c>
      <c r="C11" s="406" t="s">
        <v>85</v>
      </c>
      <c r="D11" s="471">
        <v>1400</v>
      </c>
      <c r="E11" s="458">
        <f>D11*A11</f>
        <v>119000</v>
      </c>
      <c r="G11" s="394" t="s">
        <v>92</v>
      </c>
      <c r="H11" s="440"/>
      <c r="I11" s="500">
        <v>15.6</v>
      </c>
      <c r="J11" s="203"/>
      <c r="K11" s="76"/>
      <c r="L11" s="156"/>
      <c r="M11" s="199" t="s">
        <v>93</v>
      </c>
      <c r="N11" s="82" t="s">
        <v>94</v>
      </c>
      <c r="O11" s="242" t="s">
        <v>95</v>
      </c>
      <c r="P11" s="389" t="s">
        <v>96</v>
      </c>
      <c r="Q11" s="391" t="s">
        <v>97</v>
      </c>
      <c r="R11" s="151"/>
      <c r="S11" s="33" t="s">
        <v>98</v>
      </c>
      <c r="T11" s="460">
        <f>(($I$7/2)*(1-$I$22)*$I$23*$I$24)+(($I$7/2)*(1-$I$22)*$I$25*$I$26)</f>
        <v>87067.5</v>
      </c>
      <c r="U11" s="460">
        <f>T11/$I$7</f>
        <v>72.55625</v>
      </c>
      <c r="V11" s="464">
        <f>IF($I$14="no",T11/(($I$7*$I$10)/100),T11/$T$1)</f>
        <v>0.37593911917098444</v>
      </c>
      <c r="W11" s="47">
        <f>(T11/$T$13)*100</f>
        <v>2.2282791251187652</v>
      </c>
      <c r="X11" s="47">
        <f>(T11/$T$13)*100</f>
        <v>2.2282791251187652</v>
      </c>
      <c r="Y11" s="460">
        <f>($I$7/2)*(1-$I$22)*$I$23*$I$24+($I$7/2)*(1-$I$22)*$I$25*$I$26</f>
        <v>87067.5</v>
      </c>
      <c r="Z11" s="460">
        <f>Y11/$I$7</f>
        <v>72.55625</v>
      </c>
      <c r="AA11" s="464">
        <f>IF($I$14="no",Y11/(($I$7*$I$10)/100),Y11/$Y$1)</f>
        <v>0.372216949674242</v>
      </c>
      <c r="AB11" s="47">
        <f>(Y11/$Y$13)*100</f>
        <v>2.2078641423920793</v>
      </c>
      <c r="AC11" s="47">
        <f>(Y11/$Y$13)*100</f>
        <v>2.2078641423920793</v>
      </c>
      <c r="AD11" s="460">
        <f>($I$7/2)*(1-$I$22)*$I$23*$I$24+($I$7/2)*(1-$I$22)*$I$25*$I$26</f>
        <v>87067.5</v>
      </c>
      <c r="AE11" s="460">
        <f>AD11/$I$7</f>
        <v>72.55625</v>
      </c>
      <c r="AF11" s="464">
        <f>IF($I$14="no",AD11/(($I$7*$I$10)/100),AD11/$AD$1)</f>
        <v>0.3685316333408337</v>
      </c>
      <c r="AG11" s="47">
        <f>(AD11/$AD$13)*100</f>
        <v>2.1876212331107086</v>
      </c>
      <c r="AH11" s="47">
        <f>(AD11/$AD$13)*100</f>
        <v>2.1876212331107086</v>
      </c>
      <c r="AI11" s="460">
        <f>($I$7/2)*(1-$I$22)*$I$23*$I$24+($I$7/2)*(1-$I$22)*$I$25*$I$26</f>
        <v>87067.5</v>
      </c>
      <c r="AJ11" s="460">
        <f>AI11/$I$7</f>
        <v>72.55625</v>
      </c>
      <c r="AK11" s="464">
        <f>IF($I$14="no",AI11/(($I$7*$I$10)/100),AI11/$AI$1)</f>
        <v>0.36488280528795414</v>
      </c>
      <c r="AL11" s="47">
        <f>(AI11/$AI$13)*100</f>
        <v>2.1675492203442777</v>
      </c>
      <c r="AM11" s="47">
        <f>(AI11/$AI$13)*100</f>
        <v>2.1675492203442777</v>
      </c>
      <c r="AN11" s="460">
        <f>($I$7/2)*(1-$I$22)*$I$23*$I$24+($I$7/2)*(1-$I$22)*$I$25*$I$26</f>
        <v>87067.5</v>
      </c>
      <c r="AO11" s="460">
        <f>AN11/$I$7</f>
        <v>72.55625</v>
      </c>
      <c r="AP11" s="464">
        <f>IF($I$14="no",AN11/(($I$7*$I$10)/100),AN11/$AN$1)</f>
        <v>0.36127010424549916</v>
      </c>
      <c r="AQ11" s="47">
        <f>(AN11/$AN$13)*100</f>
        <v>2.1476469301729986</v>
      </c>
      <c r="AR11" s="47">
        <f>(AN11/$AN$13)*100</f>
        <v>2.1476469301729986</v>
      </c>
      <c r="AS11" s="33" t="s">
        <v>98</v>
      </c>
      <c r="AT11" s="460">
        <f>($I$7/2)*(1-$I$22)*$I$23*$I$24+($I$7/2)*(1-$I$22)*$I$25*$I$26</f>
        <v>87067.5</v>
      </c>
      <c r="AU11" s="460">
        <f>AT11/$I$7</f>
        <v>72.55625</v>
      </c>
      <c r="AV11" s="464">
        <f>IF($I$14="no",AT11/(($I$7*$I$10)/100),AT11/$AT$1)</f>
        <v>0.3576931725202962</v>
      </c>
      <c r="AW11" s="47">
        <f>(AT11/$AT$13)*100</f>
        <v>2.1279131917837044</v>
      </c>
      <c r="AX11" s="47">
        <f>(AT11/$AT$13)*100</f>
        <v>2.1279131917837044</v>
      </c>
      <c r="AY11" s="460">
        <f>($I$7/2)*(1-$I$22)*$I$23*$I$24+($I$7/2)*(1-$I$22)*$I$25*$I$26</f>
        <v>87067.5</v>
      </c>
      <c r="AZ11" s="460">
        <f>AY11/$I$7</f>
        <v>72.55625</v>
      </c>
      <c r="BA11" s="464">
        <f>IF($I$14="no",AY11/(($I$7*$I$10)/100),AY11/$AY$1)</f>
        <v>0.3541516559606893</v>
      </c>
      <c r="BB11" s="47">
        <f>(AY11/$AY$13)*100</f>
        <v>2.108346837563528</v>
      </c>
      <c r="BC11" s="47">
        <f>(AY11/$AY$13)*100</f>
        <v>2.108346837563528</v>
      </c>
      <c r="BD11" s="460">
        <f>($I$7/2)*(1-$I$22)*$I$23*$I$24+($I$7/2)*(1-$I$22)*$I$25*$I$26</f>
        <v>87067.5</v>
      </c>
      <c r="BE11" s="460">
        <f>BD11/$I$7</f>
        <v>72.55625</v>
      </c>
      <c r="BF11" s="464">
        <f>IF($I$14="no",BD11/(($I$7*$I$10)/100),BD11/$BD$1)</f>
        <v>0.3506452039214745</v>
      </c>
      <c r="BG11" s="47">
        <f>(BD11/$BD$13)*100</f>
        <v>2.0889467031912594</v>
      </c>
      <c r="BH11" s="47">
        <f>(BD11/$BD$13)*100</f>
        <v>2.0889467031912594</v>
      </c>
      <c r="BI11" s="460">
        <f>($I$7/2)*(1-$I$22)*$I$23*$I$24+($I$7/2)*(1-$I$22)*$I$25*$I$26</f>
        <v>87067.5</v>
      </c>
      <c r="BJ11" s="460">
        <f>BI11/$I$7</f>
        <v>72.55625</v>
      </c>
      <c r="BK11" s="464">
        <f>IF($I$14="no",BI11/(($I$7*$I$10)/100),BI11/$BI$1)</f>
        <v>0.3471734692291827</v>
      </c>
      <c r="BL11" s="47">
        <f>(BI11/$BI$13)*100</f>
        <v>2.0697116277263983</v>
      </c>
      <c r="BM11" s="47">
        <f>(BI11/$BI$13)*100</f>
        <v>2.0697116277263983</v>
      </c>
      <c r="BN11" s="460">
        <f>($I$7/2)*(1-$I$22)*$I$23*$I$24+($I$7/2)*(1-$I$22)*$I$25*$I$26</f>
        <v>87067.5</v>
      </c>
      <c r="BO11" s="460">
        <f>BN11/$I$7</f>
        <v>72.55625</v>
      </c>
      <c r="BP11" s="464">
        <f>IF($I$14="no",BN11/(($I$7*$I$10)/100),BN11/$BN$1)</f>
        <v>0.34373610814770567</v>
      </c>
      <c r="BQ11" s="47">
        <f>(BN11/$BN$13)*100</f>
        <v>2.050640453695936</v>
      </c>
      <c r="BR11" s="47">
        <f>(BN11/$BN$13)*100</f>
        <v>2.050640453695936</v>
      </c>
      <c r="BS11" s="33" t="s">
        <v>98</v>
      </c>
      <c r="BT11" s="460">
        <f>($I$7/2)*(1-$I$22)*$I$23*$I$24+($I$7/2)*(1-$I$22)*$I$25*$I$26</f>
        <v>87067.5</v>
      </c>
      <c r="BU11" s="460">
        <f>BT11/$I$7</f>
        <v>72.55625</v>
      </c>
      <c r="BV11" s="464">
        <f>IF($I$14="no",BT11/(($I$7*$I$10)/100),BT11/$BT$1)</f>
        <v>0.34033278034426306</v>
      </c>
      <c r="BW11" s="47">
        <f>(BT11/$BT$13)*100</f>
        <v>2.0317320271788963</v>
      </c>
      <c r="BX11" s="47">
        <f>(BT11/$BT$13)*100</f>
        <v>2.0317320271788963</v>
      </c>
      <c r="BY11" s="460">
        <f>($I$7/2)*(1-$I$22)*$I$23*$I$24+($I$7/2)*(1-$I$22)*$I$25*$I$26</f>
        <v>87067.5</v>
      </c>
      <c r="BZ11" s="460">
        <f>BY11/$I$7</f>
        <v>72.55625</v>
      </c>
      <c r="CA11" s="464">
        <f>IF($I$14="no",BY11/(($I$7*$I$10)/100),BY11/$BY$1)</f>
        <v>0.33696314885570605</v>
      </c>
      <c r="CB11" s="47">
        <f>(BY11/$BY$13)*100</f>
        <v>2.0129851978886513</v>
      </c>
      <c r="CC11" s="47">
        <f>(BY11/$BY$13)*100</f>
        <v>2.0129851978886513</v>
      </c>
      <c r="CD11" s="460">
        <f>($I$7/2)*(1-$I$22)*$I$23*$I$24+($I$7/2)*(1-$I$22)*$I$25*$I$26</f>
        <v>87067.5</v>
      </c>
      <c r="CE11" s="460">
        <f>CD11/$I$7</f>
        <v>72.55625</v>
      </c>
      <c r="CF11" s="464">
        <f>IF($I$14="no",CD11/(($I$7*$I$10)/100),CD11/$CD$1)</f>
        <v>0.3336268800551545</v>
      </c>
      <c r="CG11" s="47">
        <f>(CD11/$CD$13)*100</f>
        <v>1.9943988192530546</v>
      </c>
      <c r="CH11" s="47">
        <f>(CD11/$CD$13)*100</f>
        <v>1.9943988192530546</v>
      </c>
      <c r="CI11" s="460">
        <f>($I$7/2)*(1-$I$22)*$I$23*$I$24+($I$7/2)*(1-$I$22)*$I$25*$I$26</f>
        <v>87067.5</v>
      </c>
      <c r="CJ11" s="460">
        <f>CI11/$I$7</f>
        <v>72.55625</v>
      </c>
      <c r="CK11" s="464">
        <f>IF($I$14="no",CI11/(($I$7*$I$10)/100),CI11/$CI$1)</f>
        <v>0.3303236436189648</v>
      </c>
      <c r="CL11" s="47">
        <f>(CI11/$CI$13)*100</f>
        <v>1.9759717484924073</v>
      </c>
      <c r="CM11" s="47">
        <f>(CI11/$CI$13)*100</f>
        <v>1.9759717484924073</v>
      </c>
      <c r="CN11" s="460">
        <f>($I$7/2)*(1-$I$22)*$I$23*$I$24+($I$7/2)*(1-$I$22)*$I$25*$I$26</f>
        <v>87067.5</v>
      </c>
      <c r="CO11" s="460">
        <f>CN11/$I$7</f>
        <v>72.55625</v>
      </c>
      <c r="CP11" s="464">
        <f>IF($I$14="no",CN11/(($I$7*$I$10)/100),CN11/$CN$1)</f>
        <v>0.3270531124940245</v>
      </c>
      <c r="CQ11" s="47">
        <f>(CN11/$CN$13)*100</f>
        <v>1.957702846695291</v>
      </c>
      <c r="CR11" s="47">
        <f>(CN11/$CN$13)*100</f>
        <v>1.957702846695291</v>
      </c>
      <c r="CS11" s="33" t="s">
        <v>98</v>
      </c>
      <c r="CT11" s="460">
        <f>($I$7/2)*(1-$I$22)*$I$23*$I$24+($I$7/2)*(1-$I$22)*$I$25*$I$26</f>
        <v>87067.5</v>
      </c>
      <c r="CU11" s="460">
        <f>CT11/$I$7</f>
        <v>72.55625</v>
      </c>
      <c r="CV11" s="464">
        <f>IF($I$14="no",CT11/(($I$7*$I$10)/100),CT11/$CT$1)</f>
        <v>0.3238149628653708</v>
      </c>
      <c r="CW11" s="47">
        <f>(CT11/$CT$13)*100</f>
        <v>1.9395909788922927</v>
      </c>
      <c r="CX11" s="47">
        <f>(CT11/$CT$13)*100</f>
        <v>1.9395909788922927</v>
      </c>
      <c r="CY11" s="460">
        <f>($I$7/2)*(1-$I$22)*$I$23*$I$24+($I$7/2)*(1-$I$22)*$I$25*$I$26</f>
        <v>87067.5</v>
      </c>
      <c r="CZ11" s="460">
        <f>CY11/$I$7</f>
        <v>72.55625</v>
      </c>
      <c r="DA11" s="464">
        <f>IF($I$14="no",CY11/(($I$7*$I$10)/100),CY11/$CY$1)</f>
        <v>0.32060887412412953</v>
      </c>
      <c r="DB11" s="47">
        <f>(CY11/$CY$13)*100</f>
        <v>1.9216350141276464</v>
      </c>
      <c r="DC11" s="47">
        <f>(CY11/$CY$13)*100</f>
        <v>1.9216350141276464</v>
      </c>
      <c r="DD11" s="460">
        <f>($I$7/2)*(1-$I$22)*$I$23*$I$24+($I$7/2)*(1-$I$22)*$I$25*$I$26</f>
        <v>87067.5</v>
      </c>
      <c r="DE11" s="460">
        <f>DD11/$I$7</f>
        <v>72.55625</v>
      </c>
      <c r="DF11" s="464">
        <f>IF($I$14="no",DD11/(($I$7*$I$10)/100),DD11/$DD$1)</f>
        <v>0.3174345288357718</v>
      </c>
      <c r="DG11" s="47">
        <f>(DD11/$DD$13)*100</f>
        <v>1.9038338255288285</v>
      </c>
      <c r="DH11" s="47">
        <f>(DD11/$DD$13)*100</f>
        <v>1.9038338255288285</v>
      </c>
      <c r="DI11" s="460">
        <f>($I$7/2)*(1-$I$22)*$I$23*$I$24+($I$7/2)*(1-$I$22)*$I$25*$I$26</f>
        <v>87067.5</v>
      </c>
      <c r="DJ11" s="460">
        <f>DI11/$I$7</f>
        <v>72.55625</v>
      </c>
      <c r="DK11" s="464">
        <f>IF($I$14="no",DI11/(($I$7*$I$10)/100),DI11/$DI$1)</f>
        <v>0.31429161270868494</v>
      </c>
      <c r="DL11" s="47">
        <f>(DI11/$DI$13)*100</f>
        <v>1.8861862903741242</v>
      </c>
      <c r="DM11" s="47">
        <f>(DI11/$DI$13)*100</f>
        <v>1.8861862903741242</v>
      </c>
      <c r="DN11" s="461">
        <f>($I$7/2)*(1-$I$22)*$I$23*$I$24+($I$7/2)*(1-$I$22)*$I$25*$I$26</f>
        <v>87067.5</v>
      </c>
      <c r="DO11" s="460">
        <f>DN11/$I$7</f>
        <v>72.55625</v>
      </c>
      <c r="DP11" s="464">
        <f>IF($I$14="no",DN11/(($I$7*$I$10)/100),DN11/$DN$1)</f>
        <v>0.3111798145630544</v>
      </c>
      <c r="DQ11" s="47">
        <f>(DN11/$DN$13)*100</f>
        <v>1.8686912901581951</v>
      </c>
      <c r="DR11" s="50">
        <f>(DN11/$DN$13)*100</f>
        <v>1.8686912901581951</v>
      </c>
      <c r="DT11" s="62">
        <v>2</v>
      </c>
      <c r="DU11" s="107">
        <f t="shared" si="0"/>
        <v>22607.431235582815</v>
      </c>
      <c r="DV11" s="107">
        <f t="shared" si="1"/>
        <v>83908.91091702809</v>
      </c>
      <c r="DW11" s="107">
        <f t="shared" si="2"/>
        <v>106516.3421526109</v>
      </c>
      <c r="DX11" s="107">
        <f t="shared" si="3"/>
        <v>349691.09391907556</v>
      </c>
      <c r="DY11" s="107">
        <f t="shared" si="4"/>
        <v>143926.42343787447</v>
      </c>
      <c r="DZ11" s="107">
        <f t="shared" si="5"/>
        <v>493617.51735695003</v>
      </c>
      <c r="EA11" s="107">
        <f t="shared" si="6"/>
        <v>49590.432103581115</v>
      </c>
      <c r="EB11" s="107">
        <f t="shared" si="7"/>
        <v>184058.02527299133</v>
      </c>
      <c r="EC11" s="107">
        <f t="shared" si="8"/>
        <v>233648.45737657245</v>
      </c>
      <c r="ED11" s="107">
        <f t="shared" si="9"/>
        <v>51076.75540555497</v>
      </c>
      <c r="EE11" s="107">
        <f t="shared" si="10"/>
        <v>21022.25322339454</v>
      </c>
      <c r="EF11" s="79">
        <f t="shared" si="11"/>
        <v>72099.00862894951</v>
      </c>
      <c r="EH11" s="62">
        <v>2</v>
      </c>
      <c r="EI11" s="107">
        <v>0</v>
      </c>
      <c r="EJ11" s="107">
        <v>0</v>
      </c>
      <c r="EK11" s="107">
        <v>0</v>
      </c>
      <c r="EL11" s="107">
        <v>0</v>
      </c>
      <c r="EM11" s="107">
        <v>0</v>
      </c>
      <c r="EN11" s="107">
        <v>0</v>
      </c>
      <c r="EO11" s="107">
        <v>0</v>
      </c>
      <c r="EP11" s="107">
        <v>0</v>
      </c>
      <c r="EQ11" s="107">
        <v>0</v>
      </c>
      <c r="ER11" s="107">
        <v>0</v>
      </c>
      <c r="ES11" s="107">
        <v>0</v>
      </c>
      <c r="ET11" s="107">
        <v>0</v>
      </c>
      <c r="EU11" s="107">
        <v>0</v>
      </c>
      <c r="EV11" s="107">
        <v>0</v>
      </c>
      <c r="EW11" s="107">
        <v>0</v>
      </c>
      <c r="EX11" s="79">
        <v>0</v>
      </c>
      <c r="FH11" s="62">
        <v>2</v>
      </c>
      <c r="FI11" s="107" t="b">
        <f t="shared" si="12"/>
        <v>0</v>
      </c>
      <c r="FJ11" s="107">
        <f t="shared" si="13"/>
        <v>217156.8</v>
      </c>
      <c r="FK11" s="107" t="b">
        <f t="shared" si="14"/>
        <v>0</v>
      </c>
      <c r="FL11" s="107">
        <f t="shared" si="15"/>
        <v>0</v>
      </c>
      <c r="FM11" s="107">
        <f t="shared" si="16"/>
        <v>217156.8</v>
      </c>
      <c r="FN11" s="107" t="b">
        <f t="shared" si="17"/>
        <v>0</v>
      </c>
      <c r="FO11" s="107">
        <f t="shared" si="18"/>
        <v>13017.272727272728</v>
      </c>
      <c r="FP11" s="107">
        <f t="shared" si="19"/>
        <v>13017.272727272728</v>
      </c>
      <c r="FQ11" s="107" t="b">
        <f>IF($H$122="yes",IF($I$122=5,SLN($E$47,0,$I$122),0))</f>
        <v>0</v>
      </c>
      <c r="FR11" s="107">
        <f>IF($H$122="no",IF($I$122=5,SYD($E$47,0,$I$122,$FH11),0))</f>
        <v>26000</v>
      </c>
      <c r="FS11" s="107">
        <f t="shared" si="20"/>
        <v>26000</v>
      </c>
      <c r="FT11" s="107" t="b">
        <f t="shared" si="21"/>
        <v>0</v>
      </c>
      <c r="FU11" s="107">
        <f t="shared" si="22"/>
        <v>28260</v>
      </c>
      <c r="FV11" s="107">
        <f t="shared" si="23"/>
        <v>28260</v>
      </c>
      <c r="FW11" s="107" t="b">
        <f>IF($H$124="yes",IF($I$124=3,SLN($E$152,0,$I$124),0))</f>
        <v>0</v>
      </c>
      <c r="FX11" s="107">
        <f>IF($H$124="no",IF($I$124=3,SYD($E$152,0,$I$124,$FH11),0))</f>
        <v>116850</v>
      </c>
      <c r="FY11" s="107" t="b">
        <f>IF($H$124="yes",IF($I$124=5,SLN($E$152,0,$I$124),0))</f>
        <v>0</v>
      </c>
      <c r="FZ11" s="107">
        <f>IF($H$124="no",IF($I$124=5,SYD($E$152,0,$I$124,$FH11),0))</f>
        <v>0</v>
      </c>
      <c r="GA11" s="107">
        <v>0</v>
      </c>
      <c r="GB11" s="107">
        <v>0</v>
      </c>
      <c r="GC11" s="107">
        <v>0</v>
      </c>
      <c r="GD11" s="107">
        <v>0</v>
      </c>
      <c r="GE11" s="107">
        <v>0</v>
      </c>
      <c r="GF11" s="107">
        <v>0</v>
      </c>
      <c r="GG11" s="107">
        <v>0</v>
      </c>
      <c r="GH11" s="107">
        <v>0</v>
      </c>
      <c r="GI11" s="107">
        <v>0</v>
      </c>
      <c r="GJ11" s="107">
        <v>0</v>
      </c>
      <c r="GK11" s="107">
        <v>0</v>
      </c>
      <c r="GL11" s="107">
        <v>0</v>
      </c>
      <c r="GM11" s="10">
        <f t="shared" si="24"/>
        <v>116850</v>
      </c>
      <c r="GN11" s="107">
        <v>0</v>
      </c>
      <c r="GO11" s="107">
        <v>0</v>
      </c>
      <c r="GP11" s="107">
        <f>GN11+GO11</f>
        <v>0</v>
      </c>
      <c r="GQ11" s="27">
        <f t="shared" si="25"/>
        <v>401284.07272727275</v>
      </c>
    </row>
    <row r="12" spans="1:199" ht="16.5" thickBot="1">
      <c r="A12" s="476">
        <v>40</v>
      </c>
      <c r="B12" s="407" t="s">
        <v>99</v>
      </c>
      <c r="C12" s="404" t="s">
        <v>85</v>
      </c>
      <c r="D12" s="472">
        <v>1400</v>
      </c>
      <c r="E12" s="459">
        <f>D12*A12</f>
        <v>56000</v>
      </c>
      <c r="G12" s="394" t="s">
        <v>100</v>
      </c>
      <c r="H12" s="440"/>
      <c r="I12" s="500" t="s">
        <v>101</v>
      </c>
      <c r="J12" s="203"/>
      <c r="K12" s="161" t="s">
        <v>102</v>
      </c>
      <c r="L12" s="162">
        <f>$T$61</f>
        <v>-550848.8755150829</v>
      </c>
      <c r="M12" s="163">
        <f>$T$63</f>
        <v>2742.2148417731023</v>
      </c>
      <c r="N12" s="163">
        <f>$T$64</f>
        <v>22242.56877946091</v>
      </c>
      <c r="O12" s="243">
        <f>$T$65</f>
        <v>17.97844937614457</v>
      </c>
      <c r="P12" s="96">
        <f>IF($I$14="yes",T$2,$I$10)</f>
        <v>19300</v>
      </c>
      <c r="Q12" s="392">
        <f>$T$4</f>
        <v>15.6</v>
      </c>
      <c r="R12" s="151"/>
      <c r="S12" s="33" t="s">
        <v>103</v>
      </c>
      <c r="T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U12" s="460">
        <f>T12/$I$7</f>
        <v>0</v>
      </c>
      <c r="V12" s="464">
        <f>IF($I$14="no",T12/(($I$7*$I$10)/100),T12/$T$1)</f>
        <v>0</v>
      </c>
      <c r="W12" s="47">
        <f>(T12/$T$13)*100</f>
        <v>0</v>
      </c>
      <c r="X12" s="47">
        <f>(T12/$T$13)*100</f>
        <v>0</v>
      </c>
      <c r="Y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Z12" s="460">
        <f>Y12/$I$7</f>
        <v>0</v>
      </c>
      <c r="AA12" s="464">
        <f>IF($I$14="no",Y12/(($I$7*$I$10)/100),Y12/$Y$1)</f>
        <v>0</v>
      </c>
      <c r="AB12" s="47">
        <f>(Y12/$Y$13)*100</f>
        <v>0</v>
      </c>
      <c r="AC12" s="47">
        <f>(Y12/$Y$13)*100</f>
        <v>0</v>
      </c>
      <c r="AD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AE12" s="460">
        <f>AD12/$I$7</f>
        <v>0</v>
      </c>
      <c r="AF12" s="464">
        <f>IF($I$14="no",AD12/(($I$7*$I$10)/100),AD12/$AD$1)</f>
        <v>0</v>
      </c>
      <c r="AG12" s="47">
        <f>(AD12/$AD$13)*100</f>
        <v>0</v>
      </c>
      <c r="AH12" s="47">
        <f>(AD12/$AD$13)*100</f>
        <v>0</v>
      </c>
      <c r="AI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AJ12" s="460">
        <f>AI12/$I$7</f>
        <v>0</v>
      </c>
      <c r="AK12" s="464">
        <f>IF($I$14="no",AI12/(($I$7*$I$10)/100),AI12/$AI$1)</f>
        <v>0</v>
      </c>
      <c r="AL12" s="47">
        <f>(AI12/$AI$13)*100</f>
        <v>0</v>
      </c>
      <c r="AM12" s="47">
        <f>(AI12/$AI$13)*100</f>
        <v>0</v>
      </c>
      <c r="AN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AO12" s="460">
        <f>AN12/$I$7</f>
        <v>0</v>
      </c>
      <c r="AP12" s="464">
        <f>IF($I$14="no",AN12/(($I$7*$I$10)/100),AN12/$AN$1)</f>
        <v>0</v>
      </c>
      <c r="AQ12" s="47">
        <f>(AN12/$AN$13)*100</f>
        <v>0</v>
      </c>
      <c r="AR12" s="47">
        <f>(AN12/$AN$13)*100</f>
        <v>0</v>
      </c>
      <c r="AS12" s="33" t="s">
        <v>103</v>
      </c>
      <c r="AT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AU12" s="460">
        <f>AT12/$I$7</f>
        <v>0</v>
      </c>
      <c r="AV12" s="464">
        <f>IF($I$14="no",AT12/(($I$7*$I$10)/100),AT12/$AT$1)</f>
        <v>0</v>
      </c>
      <c r="AW12" s="47">
        <f>(AT12/$AT$13)*100</f>
        <v>0</v>
      </c>
      <c r="AX12" s="47">
        <f>(AT12/$AT$13)*100</f>
        <v>0</v>
      </c>
      <c r="AY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AZ12" s="460">
        <f>AY12/$I$7</f>
        <v>0</v>
      </c>
      <c r="BA12" s="464">
        <f>IF($I$14="no",AY12/(($I$7*$I$10)/100),AY12/$AY$1)</f>
        <v>0</v>
      </c>
      <c r="BB12" s="47">
        <f>(AY12/$AY$13)*100</f>
        <v>0</v>
      </c>
      <c r="BC12" s="47">
        <f>(AY12/$AY$13)*100</f>
        <v>0</v>
      </c>
      <c r="BD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BE12" s="460">
        <f>BD12/$I$7</f>
        <v>0</v>
      </c>
      <c r="BF12" s="464">
        <f>IF($I$14="no",BD12/(($I$7*$I$10)/100),BD12/$BD$1)</f>
        <v>0</v>
      </c>
      <c r="BG12" s="47">
        <f>(BD12/$BD$13)*100</f>
        <v>0</v>
      </c>
      <c r="BH12" s="47">
        <f>(BD12/$BD$13)*100</f>
        <v>0</v>
      </c>
      <c r="BI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BJ12" s="460">
        <f>BI12/$I$7</f>
        <v>0</v>
      </c>
      <c r="BK12" s="464">
        <f>IF($I$14="no",BI12/(($I$7*$I$10)/100),BI12/$BI$1)</f>
        <v>0</v>
      </c>
      <c r="BL12" s="47">
        <f>(BI12/$BI$13)*100</f>
        <v>0</v>
      </c>
      <c r="BM12" s="47">
        <f>(BI12/$BI$13)*100</f>
        <v>0</v>
      </c>
      <c r="BN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BO12" s="460">
        <f>BN12/$I$7</f>
        <v>0</v>
      </c>
      <c r="BP12" s="464">
        <f>IF($I$14="no",BN12/(($I$7*$I$10)/100),BN12/$BN$1)</f>
        <v>0</v>
      </c>
      <c r="BQ12" s="47">
        <f>(BN12/$BN$13)*100</f>
        <v>0</v>
      </c>
      <c r="BR12" s="47">
        <f>(BN12/$BN$13)*100</f>
        <v>0</v>
      </c>
      <c r="BS12" s="33" t="s">
        <v>103</v>
      </c>
      <c r="BT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BU12" s="460">
        <f>BT12/$I$7</f>
        <v>0</v>
      </c>
      <c r="BV12" s="464">
        <f>IF($I$14="no",BT12/(($I$7*$I$10)/100),BT12/$BT$1)</f>
        <v>0</v>
      </c>
      <c r="BW12" s="47">
        <f>(BT12/$BT$13)*100</f>
        <v>0</v>
      </c>
      <c r="BX12" s="47">
        <f>(BT12/$BT$13)*100</f>
        <v>0</v>
      </c>
      <c r="BY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BZ12" s="460">
        <f>BY12/$I$7</f>
        <v>0</v>
      </c>
      <c r="CA12" s="464">
        <f>IF($I$14="no",BY12/(($I$7*$I$10)/100),BY12/$BY$1)</f>
        <v>0</v>
      </c>
      <c r="CB12" s="47">
        <f>(BY12/$BY$13)*100</f>
        <v>0</v>
      </c>
      <c r="CC12" s="47">
        <f>(BY12/$BY$13)*100</f>
        <v>0</v>
      </c>
      <c r="CD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CE12" s="460">
        <f>CD12/$I$7</f>
        <v>0</v>
      </c>
      <c r="CF12" s="464">
        <f>IF($I$14="no",CD12/(($I$7*$I$10)/100),CD12/$CD$1)</f>
        <v>0</v>
      </c>
      <c r="CG12" s="47">
        <f>(CD12/$CD$13)*100</f>
        <v>0</v>
      </c>
      <c r="CH12" s="47">
        <f>(CD12/$CD$13)*100</f>
        <v>0</v>
      </c>
      <c r="CI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CJ12" s="460">
        <f>CI12/$I$7</f>
        <v>0</v>
      </c>
      <c r="CK12" s="464">
        <f>IF($I$14="no",CI12/(($I$7*$I$10)/100),CI12/$CI$1)</f>
        <v>0</v>
      </c>
      <c r="CL12" s="47">
        <f>(CI12/$CI$13)*100</f>
        <v>0</v>
      </c>
      <c r="CM12" s="47">
        <f>(CI12/$CI$13)*100</f>
        <v>0</v>
      </c>
      <c r="CN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CO12" s="460">
        <f>CN12/$I$7</f>
        <v>0</v>
      </c>
      <c r="CP12" s="464">
        <f>IF($I$14="no",CN12/(($I$7*$I$10)/100),CN12/$CN$1)</f>
        <v>0</v>
      </c>
      <c r="CQ12" s="47">
        <f>(CN12/$CN$13)*100</f>
        <v>0</v>
      </c>
      <c r="CR12" s="47">
        <f>(CN12/$CN$13)*100</f>
        <v>0</v>
      </c>
      <c r="CS12" s="33" t="s">
        <v>103</v>
      </c>
      <c r="CT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CU12" s="460">
        <f>CT12/$I$7</f>
        <v>0</v>
      </c>
      <c r="CV12" s="464">
        <f>IF($I$14="no",CT12/(($I$7*$I$10)/100),CT12/$CT$1)</f>
        <v>0</v>
      </c>
      <c r="CW12" s="47">
        <f>(CT12/$CT$13)*100</f>
        <v>0</v>
      </c>
      <c r="CX12" s="47">
        <f>(CT12/$CT$13)*100</f>
        <v>0</v>
      </c>
      <c r="CY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CZ12" s="460">
        <f>CY12/$I$7</f>
        <v>0</v>
      </c>
      <c r="DA12" s="464">
        <f>IF($I$14="no",CY12/(($I$7*$I$10)/100),CY12/$CY$1)</f>
        <v>0</v>
      </c>
      <c r="DB12" s="47">
        <f>(CY12/$CY$13)*100</f>
        <v>0</v>
      </c>
      <c r="DC12" s="47">
        <f>(CY12/$CY$13)*100</f>
        <v>0</v>
      </c>
      <c r="DD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DE12" s="460">
        <f>DD12/$I$7</f>
        <v>0</v>
      </c>
      <c r="DF12" s="464">
        <f>IF($I$14="no",DD12/(($I$7*$I$10)/100),DD12/$DD$1)</f>
        <v>0</v>
      </c>
      <c r="DG12" s="47">
        <f>(DD12/$DD$13)*100</f>
        <v>0</v>
      </c>
      <c r="DH12" s="47">
        <f>(DD12/$DD$13)*100</f>
        <v>0</v>
      </c>
      <c r="DI12" s="460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DJ12" s="460">
        <f>DI12/$I$7</f>
        <v>0</v>
      </c>
      <c r="DK12" s="464">
        <f>IF($I$14="no",DI12/(($I$7*$I$10)/100),DI12/$DI$1)</f>
        <v>0</v>
      </c>
      <c r="DL12" s="47">
        <f>(DI12/$DI$13)*100</f>
        <v>0</v>
      </c>
      <c r="DM12" s="47">
        <f>(DI12/$DI$13)*100</f>
        <v>0</v>
      </c>
      <c r="DN12" s="461">
        <f>IF($I$34="yes",IF((($I$64*$A$10*$I$61)*(1-$I$65))&gt;(($I$33*$I$7*365)/2000),((($I$64*$A$10*$I$61)*(1-$I$65))-(($I$33*$I$7*365)/2000))*$I$32,0),IF((($I$64*$A$10*$I$61)*(1-$I$65))&gt;(($I$33*$I$7*365)/2000),((($I$64*$A$10*$I$61)*(1-$I$65))-(($I$33*$I$7*365)/2000))*$I$1,0))</f>
        <v>0</v>
      </c>
      <c r="DO12" s="460">
        <f>DN12/$I$7</f>
        <v>0</v>
      </c>
      <c r="DP12" s="464">
        <f>IF($I$14="no",DN12/(($I$7*$I$10)/100),DN12/$DN$1)</f>
        <v>0</v>
      </c>
      <c r="DQ12" s="47">
        <f>(DN12/$DN$13)*100</f>
        <v>0</v>
      </c>
      <c r="DR12" s="50">
        <f>(DN12/$DN$13)*100</f>
        <v>0</v>
      </c>
      <c r="DT12" s="62">
        <v>3</v>
      </c>
      <c r="DU12" s="107">
        <f t="shared" si="0"/>
        <v>24529.062890607354</v>
      </c>
      <c r="DV12" s="107">
        <f t="shared" si="1"/>
        <v>81987.27926200355</v>
      </c>
      <c r="DW12" s="107">
        <f t="shared" si="2"/>
        <v>106516.3421526109</v>
      </c>
      <c r="DX12" s="107">
        <f t="shared" si="3"/>
        <v>381163.29237179237</v>
      </c>
      <c r="DY12" s="107">
        <f t="shared" si="4"/>
        <v>112454.22498515766</v>
      </c>
      <c r="DZ12" s="107">
        <f t="shared" si="5"/>
        <v>493617.51735695003</v>
      </c>
      <c r="EA12" s="107">
        <f t="shared" si="6"/>
        <v>53805.61883238552</v>
      </c>
      <c r="EB12" s="107">
        <f t="shared" si="7"/>
        <v>179842.83854418693</v>
      </c>
      <c r="EC12" s="107">
        <f t="shared" si="8"/>
        <v>233648.45737657245</v>
      </c>
      <c r="ED12" s="107">
        <f t="shared" si="9"/>
        <v>55673.66339205492</v>
      </c>
      <c r="EE12" s="107">
        <f t="shared" si="10"/>
        <v>16425.345236894587</v>
      </c>
      <c r="EF12" s="79">
        <f t="shared" si="11"/>
        <v>72099.00862894951</v>
      </c>
      <c r="EH12" s="62">
        <v>3</v>
      </c>
      <c r="EI12" s="107">
        <v>0</v>
      </c>
      <c r="EJ12" s="107">
        <v>0</v>
      </c>
      <c r="EK12" s="107">
        <v>0</v>
      </c>
      <c r="EL12" s="107">
        <v>0</v>
      </c>
      <c r="EM12" s="107">
        <v>0</v>
      </c>
      <c r="EN12" s="107">
        <v>0</v>
      </c>
      <c r="EO12" s="107">
        <v>0</v>
      </c>
      <c r="EP12" s="107">
        <v>0</v>
      </c>
      <c r="EQ12" s="107">
        <v>0</v>
      </c>
      <c r="ER12" s="107">
        <v>0</v>
      </c>
      <c r="ES12" s="107">
        <v>0</v>
      </c>
      <c r="ET12" s="107">
        <v>0</v>
      </c>
      <c r="EU12" s="107">
        <v>0</v>
      </c>
      <c r="EV12" s="107">
        <v>0</v>
      </c>
      <c r="EW12" s="107">
        <v>0</v>
      </c>
      <c r="EX12" s="79">
        <v>0</v>
      </c>
      <c r="FH12" s="62">
        <v>3</v>
      </c>
      <c r="FI12" s="107" t="b">
        <f t="shared" si="12"/>
        <v>0</v>
      </c>
      <c r="FJ12" s="107">
        <f t="shared" si="13"/>
        <v>201645.6</v>
      </c>
      <c r="FK12" s="107" t="b">
        <f t="shared" si="14"/>
        <v>0</v>
      </c>
      <c r="FL12" s="107">
        <f t="shared" si="15"/>
        <v>0</v>
      </c>
      <c r="FM12" s="107">
        <f t="shared" si="16"/>
        <v>201645.6</v>
      </c>
      <c r="FN12" s="107" t="b">
        <f t="shared" si="17"/>
        <v>0</v>
      </c>
      <c r="FO12" s="107">
        <f t="shared" si="18"/>
        <v>11570.90909090909</v>
      </c>
      <c r="FP12" s="107">
        <f t="shared" si="19"/>
        <v>11570.90909090909</v>
      </c>
      <c r="FQ12" s="107" t="b">
        <f>IF($H$122="yes",IF($I$122=5,SLN($E$47,0,$I$122),0))</f>
        <v>0</v>
      </c>
      <c r="FR12" s="107">
        <f>IF($H$122="no",IF($I$122=5,SYD($E$47,0,$I$122,$FH12),0))</f>
        <v>19500</v>
      </c>
      <c r="FS12" s="107">
        <f t="shared" si="20"/>
        <v>19500</v>
      </c>
      <c r="FT12" s="107" t="b">
        <f t="shared" si="21"/>
        <v>0</v>
      </c>
      <c r="FU12" s="107">
        <f t="shared" si="22"/>
        <v>25120</v>
      </c>
      <c r="FV12" s="107">
        <f t="shared" si="23"/>
        <v>25120</v>
      </c>
      <c r="FW12" s="107" t="b">
        <f>IF($H$124="yes",IF($I$124=3,SLN($E$152,0,$I$124),0))</f>
        <v>0</v>
      </c>
      <c r="FX12" s="107">
        <f>IF($H$124="no",IF($I$124=3,SYD($E$152,0,$I$124,$FH12),0))</f>
        <v>58425</v>
      </c>
      <c r="FY12" s="107" t="b">
        <f>IF($H$124="yes",IF($I$124=5,SLN($E$152,0,$I$124),0))</f>
        <v>0</v>
      </c>
      <c r="FZ12" s="107">
        <f>IF($H$124="no",IF($I$124=5,SYD($E$152,0,$I$124,$FH12),0))</f>
        <v>0</v>
      </c>
      <c r="GA12" s="107">
        <v>0</v>
      </c>
      <c r="GB12" s="107">
        <v>0</v>
      </c>
      <c r="GC12" s="107">
        <v>0</v>
      </c>
      <c r="GD12" s="107">
        <v>0</v>
      </c>
      <c r="GE12" s="107">
        <v>0</v>
      </c>
      <c r="GF12" s="107">
        <v>0</v>
      </c>
      <c r="GG12" s="107">
        <v>0</v>
      </c>
      <c r="GH12" s="107">
        <v>0</v>
      </c>
      <c r="GI12" s="107">
        <v>0</v>
      </c>
      <c r="GJ12" s="107">
        <v>0</v>
      </c>
      <c r="GK12" s="107">
        <v>0</v>
      </c>
      <c r="GL12" s="107">
        <v>0</v>
      </c>
      <c r="GM12" s="10">
        <f t="shared" si="24"/>
        <v>58425</v>
      </c>
      <c r="GN12" s="107">
        <v>0</v>
      </c>
      <c r="GO12" s="107">
        <v>0</v>
      </c>
      <c r="GP12" s="107">
        <f>GN12+GO12</f>
        <v>0</v>
      </c>
      <c r="GQ12" s="27">
        <f t="shared" si="25"/>
        <v>316261.5090909091</v>
      </c>
    </row>
    <row r="13" spans="1:199" ht="16.5" thickTop="1">
      <c r="A13" s="13"/>
      <c r="B13" s="418"/>
      <c r="C13" s="425"/>
      <c r="D13" s="376" t="s">
        <v>104</v>
      </c>
      <c r="E13" s="368">
        <f>ROUND(SUM(E10:E12),0)</f>
        <v>1008000</v>
      </c>
      <c r="G13" s="394" t="s">
        <v>105</v>
      </c>
      <c r="H13" s="440"/>
      <c r="I13" s="501">
        <v>0.01</v>
      </c>
      <c r="J13" s="203"/>
      <c r="K13" s="30" t="s">
        <v>106</v>
      </c>
      <c r="L13" s="159">
        <f>$Y$61</f>
        <v>-523770.80791378533</v>
      </c>
      <c r="M13" s="107">
        <f>$Y$63</f>
        <v>2579.268227331318</v>
      </c>
      <c r="N13" s="107">
        <f>$Y$64</f>
        <v>22290.920982445434</v>
      </c>
      <c r="O13" s="244">
        <f>$Y$65</f>
        <v>17.83914058001071</v>
      </c>
      <c r="P13" s="96">
        <f>IF($I$14="yes",Y$2,$I$10)</f>
        <v>19493</v>
      </c>
      <c r="Q13" s="392">
        <f>$Y$4</f>
        <v>15.6</v>
      </c>
      <c r="R13" s="151"/>
      <c r="S13" s="35" t="s">
        <v>107</v>
      </c>
      <c r="T13" s="99">
        <f>SUM(T9:T12)</f>
        <v>3907387.5</v>
      </c>
      <c r="U13" s="99">
        <f>T13/$I$7</f>
        <v>3256.15625</v>
      </c>
      <c r="V13" s="172">
        <f>IF($I$14="no",T13/(($I$7*$I$10)/100),T13/$T$1)</f>
        <v>16.87127590673575</v>
      </c>
      <c r="W13" s="177">
        <f>(T13/$T$13)*100</f>
        <v>100</v>
      </c>
      <c r="X13" s="177">
        <f>(T13/$T$13)*100</f>
        <v>100</v>
      </c>
      <c r="Y13" s="99">
        <f>SUM(Y9:Y12)</f>
        <v>3943517.1</v>
      </c>
      <c r="Z13" s="99">
        <f>Y13/$I$7</f>
        <v>3286.26425</v>
      </c>
      <c r="AA13" s="172">
        <f>IF($I$14="no",Y13/(($I$7*$I$10)/100),Y13/$Y$1)</f>
        <v>16.85868901657005</v>
      </c>
      <c r="AB13" s="177">
        <f>(Y13/$Y$13)*100</f>
        <v>100</v>
      </c>
      <c r="AC13" s="177">
        <f>(Y13/$Y$13)*100</f>
        <v>100</v>
      </c>
      <c r="AD13" s="99">
        <f>SUM(AD9:AD12)</f>
        <v>3980007.996</v>
      </c>
      <c r="AE13" s="99">
        <f>AD13/$I$7</f>
        <v>3316.6733299999996</v>
      </c>
      <c r="AF13" s="172">
        <f>IF($I$14="no",AD13/(($I$7*$I$10)/100),AD13/$AD$1)</f>
        <v>16.846226749079257</v>
      </c>
      <c r="AG13" s="177">
        <f>(AD13/$AD$13)*100</f>
        <v>100</v>
      </c>
      <c r="AH13" s="177">
        <f>(AD13/$AD$13)*100</f>
        <v>100</v>
      </c>
      <c r="AI13" s="99">
        <f>SUM(AI9:AI12)</f>
        <v>4016863.80096</v>
      </c>
      <c r="AJ13" s="99">
        <f>AI13/$I$7</f>
        <v>3347.3865008000002</v>
      </c>
      <c r="AK13" s="172">
        <f>IF($I$14="no",AI13/(($I$7*$I$10)/100),AI13/$AI$1)</f>
        <v>16.833887870375502</v>
      </c>
      <c r="AL13" s="177">
        <f>(AI13/$AI$13)*100</f>
        <v>100</v>
      </c>
      <c r="AM13" s="177">
        <f>(AI13/$AI$13)*100</f>
        <v>100</v>
      </c>
      <c r="AN13" s="99">
        <f>SUM(AN9:AN12)</f>
        <v>4054088.1639696</v>
      </c>
      <c r="AO13" s="99">
        <f>AN13/$I$7</f>
        <v>3378.4068033080002</v>
      </c>
      <c r="AP13" s="172">
        <f>IF($I$14="no",AN13/(($I$7*$I$10)/100),AN13/$AN$1)</f>
        <v>16.821671158787627</v>
      </c>
      <c r="AQ13" s="177">
        <f>(AN13/$AN$13)*100</f>
        <v>100</v>
      </c>
      <c r="AR13" s="177">
        <f>(AN13/$AN$13)*100</f>
        <v>100</v>
      </c>
      <c r="AS13" s="35" t="s">
        <v>107</v>
      </c>
      <c r="AT13" s="99">
        <f>SUM(AT9:AT12)</f>
        <v>4091684.770609296</v>
      </c>
      <c r="AU13" s="99">
        <f>AT13/$I$7</f>
        <v>3409.73730884108</v>
      </c>
      <c r="AV13" s="172">
        <f>IF($I$14="no",AT13/(($I$7*$I$10)/100),AT13/$AT$1)</f>
        <v>16.809575404740226</v>
      </c>
      <c r="AW13" s="177">
        <f>(AT13/$AT$13)*100</f>
        <v>100</v>
      </c>
      <c r="AX13" s="177">
        <f>(AT13/$AT$13)*100</f>
        <v>100</v>
      </c>
      <c r="AY13" s="99">
        <f>SUM(AY9:AY12)</f>
        <v>4129657.3433153885</v>
      </c>
      <c r="AZ13" s="99">
        <f>AY13/$I$7</f>
        <v>3441.3811194294904</v>
      </c>
      <c r="BA13" s="172">
        <f>IF($I$14="no",AY13/(($I$7*$I$10)/100),AY13/$AY$1)</f>
        <v>16.797599410633886</v>
      </c>
      <c r="BB13" s="177">
        <f>(AY13/$AY$13)*100</f>
        <v>100</v>
      </c>
      <c r="BC13" s="177">
        <f>(AY13/$AY$13)*100</f>
        <v>100</v>
      </c>
      <c r="BD13" s="99">
        <f>SUM(BD9:BD12)</f>
        <v>4168009.641748543</v>
      </c>
      <c r="BE13" s="99">
        <f>BD13/$I$7</f>
        <v>3473.3413681237857</v>
      </c>
      <c r="BF13" s="172">
        <f>IF($I$14="no",BD13/(($I$7*$I$10)/100),BD13/$BD$1)</f>
        <v>16.78574199072662</v>
      </c>
      <c r="BG13" s="177">
        <f>(BD13/$BD$13)*100</f>
        <v>100</v>
      </c>
      <c r="BH13" s="177">
        <f>(BD13/$BD$13)*100</f>
        <v>100</v>
      </c>
      <c r="BI13" s="99">
        <f>SUM(BI9:BI12)</f>
        <v>4206745.463166028</v>
      </c>
      <c r="BJ13" s="99">
        <f>BI13/$I$7</f>
        <v>3505.6212193050237</v>
      </c>
      <c r="BK13" s="172">
        <f>IF($I$14="no",BI13/(($I$7*$I$10)/100),BI13/$BI$1)</f>
        <v>16.774001971016453</v>
      </c>
      <c r="BL13" s="177">
        <f>(BI13/$BI$13)*100</f>
        <v>100</v>
      </c>
      <c r="BM13" s="177">
        <f>(BI13/$BI$13)*100</f>
        <v>100</v>
      </c>
      <c r="BN13" s="99">
        <f>SUM(BN9:BN12)</f>
        <v>4245868.642797688</v>
      </c>
      <c r="BO13" s="99">
        <f>BN13/$I$7</f>
        <v>3538.223868998073</v>
      </c>
      <c r="BP13" s="172">
        <f>IF($I$14="no",BN13/(($I$7*$I$10)/100),BN13/$BN$1)</f>
        <v>16.7623781891252</v>
      </c>
      <c r="BQ13" s="177">
        <f>(BN13/$BN$13)*100</f>
        <v>100</v>
      </c>
      <c r="BR13" s="177">
        <f>(BN13/$BN$13)*100</f>
        <v>100</v>
      </c>
      <c r="BS13" s="35" t="s">
        <v>107</v>
      </c>
      <c r="BT13" s="99">
        <f>SUM(BT9:BT12)</f>
        <v>4285383.054225665</v>
      </c>
      <c r="BU13" s="99">
        <f>BT13/$I$7</f>
        <v>3571.152545188054</v>
      </c>
      <c r="BV13" s="172">
        <f>IF($I$14="no",BT13/(($I$7*$I$10)/100),BT13/$BT$1)</f>
        <v>16.750869494183366</v>
      </c>
      <c r="BW13" s="177">
        <f>(BT13/$BT$13)*100</f>
        <v>100</v>
      </c>
      <c r="BX13" s="177">
        <f>(BT13/$BT$13)*100</f>
        <v>100</v>
      </c>
      <c r="BY13" s="99">
        <f>SUM(BY9:BY12)</f>
        <v>4325292.609767921</v>
      </c>
      <c r="BZ13" s="99">
        <f>BY13/$I$7</f>
        <v>3604.4105081399343</v>
      </c>
      <c r="CA13" s="172">
        <f>IF($I$14="no",BY13/(($I$7*$I$10)/100),BY13/$BY$1)</f>
        <v>16.73947474671621</v>
      </c>
      <c r="CB13" s="177">
        <f>(BY13/$BY$13)*100</f>
        <v>100</v>
      </c>
      <c r="CC13" s="177">
        <f>(BY13/$BY$13)*100</f>
        <v>100</v>
      </c>
      <c r="CD13" s="99">
        <f>SUM(CD9:CD12)</f>
        <v>4365601.260865601</v>
      </c>
      <c r="CE13" s="99">
        <f>CD13/$I$7</f>
        <v>3638.001050721334</v>
      </c>
      <c r="CF13" s="172">
        <f>IF($I$14="no",CD13/(($I$7*$I$10)/100),CD13/$CD$1)</f>
        <v>16.7281928185309</v>
      </c>
      <c r="CG13" s="177">
        <f>(CD13/$CD$13)*100</f>
        <v>100</v>
      </c>
      <c r="CH13" s="177">
        <f>(CD13/$CD$13)*100</f>
        <v>100</v>
      </c>
      <c r="CI13" s="99">
        <f>SUM(CI9:CI12)</f>
        <v>4406312.998474257</v>
      </c>
      <c r="CJ13" s="99">
        <f>CI13/$I$7</f>
        <v>3671.9274987285476</v>
      </c>
      <c r="CK13" s="172">
        <f>IF($I$14="no",CI13/(($I$7*$I$10)/100),CI13/$CI$1)</f>
        <v>16.71702259260485</v>
      </c>
      <c r="CL13" s="177">
        <f>(CI13/$CI$13)*100</f>
        <v>100</v>
      </c>
      <c r="CM13" s="177">
        <f>(CI13/$CI$13)*100</f>
        <v>100</v>
      </c>
      <c r="CN13" s="99">
        <f>SUM(CN9:CN12)</f>
        <v>4447431.853459001</v>
      </c>
      <c r="CO13" s="99">
        <f>CN13/$I$7</f>
        <v>3706.193211215834</v>
      </c>
      <c r="CP13" s="172">
        <f>IF($I$14="no",CN13/(($I$7*$I$10)/100),CN13/$CN$1)</f>
        <v>16.7059629629751</v>
      </c>
      <c r="CQ13" s="177">
        <f>(CN13/$CN$13)*100</f>
        <v>100</v>
      </c>
      <c r="CR13" s="177">
        <f>(CN13/$CN$13)*100</f>
        <v>100</v>
      </c>
      <c r="CS13" s="35" t="s">
        <v>107</v>
      </c>
      <c r="CT13" s="99">
        <f>SUM(CT9:CT12)</f>
        <v>4488961.89699359</v>
      </c>
      <c r="CU13" s="99">
        <f>CT13/$I$7</f>
        <v>3740.8015808279915</v>
      </c>
      <c r="CV13" s="172">
        <f>IF($I$14="no",CT13/(($I$7*$I$10)/100),CT13/$CT$1)</f>
        <v>16.69501283462881</v>
      </c>
      <c r="CW13" s="177">
        <f>(CT13/$CT$13)*100</f>
        <v>100</v>
      </c>
      <c r="CX13" s="177">
        <f>(CT13/$CT$13)*100</f>
        <v>100</v>
      </c>
      <c r="CY13" s="99">
        <f>SUM(CY9:CY12)</f>
        <v>4530907.240963526</v>
      </c>
      <c r="CZ13" s="99">
        <f>CY13/$I$7</f>
        <v>3775.756034136272</v>
      </c>
      <c r="DA13" s="172">
        <f>IF($I$14="no",CY13/(($I$7*$I$10)/100),CY13/$CY$1)</f>
        <v>16.68417112339486</v>
      </c>
      <c r="DB13" s="177">
        <f>(CY13/$CY$13)*100</f>
        <v>100</v>
      </c>
      <c r="DC13" s="177">
        <f>(CY13/$CY$13)*100</f>
        <v>100</v>
      </c>
      <c r="DD13" s="99">
        <f>SUM(DD9:DD12)</f>
        <v>4573272.038373162</v>
      </c>
      <c r="DE13" s="99">
        <f>DD13/$I$7</f>
        <v>3811.060031977635</v>
      </c>
      <c r="DF13" s="172">
        <f>IF($I$14="no",DD13/(($I$7*$I$10)/100),DD13/$DD$1)</f>
        <v>16.673436755836498</v>
      </c>
      <c r="DG13" s="177">
        <f>(DD13/$DD$13)*100</f>
        <v>100</v>
      </c>
      <c r="DH13" s="177">
        <f>(DD13/$DD$13)*100</f>
        <v>100</v>
      </c>
      <c r="DI13" s="99">
        <f>SUM(DI9:DI12)</f>
        <v>4616060.483756893</v>
      </c>
      <c r="DJ13" s="99">
        <f>DI13/$I$7</f>
        <v>3846.717069797411</v>
      </c>
      <c r="DK13" s="172">
        <f>IF($I$14="no",DI13/(($I$7*$I$10)/100),DI13/$DI$1)</f>
        <v>16.662808669145047</v>
      </c>
      <c r="DL13" s="177">
        <f>(DI13/$DI$13)*100</f>
        <v>100</v>
      </c>
      <c r="DM13" s="177">
        <f>(DI13/$DI$13)*100</f>
        <v>100</v>
      </c>
      <c r="DN13" s="330">
        <f>SUM(DN9:DN12)</f>
        <v>4659276.813594462</v>
      </c>
      <c r="DO13" s="99">
        <f>DN13/$I$7</f>
        <v>3882.730677995385</v>
      </c>
      <c r="DP13" s="172">
        <f>IF($I$14="no",DN13/(($I$7*$I$10)/100),DN13/$DN$1)</f>
        <v>16.6522858110347</v>
      </c>
      <c r="DQ13" s="177">
        <f>(DN13/$DN$13)*100</f>
        <v>100</v>
      </c>
      <c r="DR13" s="188">
        <f>(DN13/$DN$13)*100</f>
        <v>100</v>
      </c>
      <c r="DT13" s="62">
        <v>4</v>
      </c>
      <c r="DU13" s="107">
        <f t="shared" si="0"/>
        <v>26614.033236308984</v>
      </c>
      <c r="DV13" s="107">
        <f t="shared" si="1"/>
        <v>79902.30891630192</v>
      </c>
      <c r="DW13" s="107">
        <f t="shared" si="2"/>
        <v>106516.3421526109</v>
      </c>
      <c r="DX13" s="107">
        <f t="shared" si="3"/>
        <v>415467.9886852537</v>
      </c>
      <c r="DY13" s="107">
        <f t="shared" si="4"/>
        <v>78149.5286716963</v>
      </c>
      <c r="DZ13" s="107">
        <f t="shared" si="5"/>
        <v>493617.51735695003</v>
      </c>
      <c r="EA13" s="107">
        <f t="shared" si="6"/>
        <v>58379.09643313824</v>
      </c>
      <c r="EB13" s="107">
        <f t="shared" si="7"/>
        <v>175269.3609434342</v>
      </c>
      <c r="EC13" s="107">
        <f t="shared" si="8"/>
        <v>233648.45737657245</v>
      </c>
      <c r="ED13" s="107">
        <f t="shared" si="9"/>
        <v>60684.29309733986</v>
      </c>
      <c r="EE13" s="107">
        <f t="shared" si="10"/>
        <v>11414.715531609645</v>
      </c>
      <c r="EF13" s="79">
        <f t="shared" si="11"/>
        <v>72099.00862894951</v>
      </c>
      <c r="EH13" s="62">
        <v>4</v>
      </c>
      <c r="EI13" s="107">
        <v>0</v>
      </c>
      <c r="EJ13" s="107">
        <v>0</v>
      </c>
      <c r="EK13" s="107">
        <v>0</v>
      </c>
      <c r="EL13" s="107">
        <v>0</v>
      </c>
      <c r="EM13" s="107">
        <v>0</v>
      </c>
      <c r="EN13" s="107">
        <v>0</v>
      </c>
      <c r="EO13" s="107">
        <v>0</v>
      </c>
      <c r="EP13" s="107">
        <v>0</v>
      </c>
      <c r="EQ13" s="107">
        <v>0</v>
      </c>
      <c r="ER13" s="107">
        <v>0</v>
      </c>
      <c r="ES13" s="107">
        <v>0</v>
      </c>
      <c r="ET13" s="107">
        <v>0</v>
      </c>
      <c r="EU13" s="107">
        <v>0</v>
      </c>
      <c r="EV13" s="107">
        <v>0</v>
      </c>
      <c r="EW13" s="107">
        <v>0</v>
      </c>
      <c r="EX13" s="79">
        <v>0</v>
      </c>
      <c r="FH13" s="62">
        <v>4</v>
      </c>
      <c r="FI13" s="107" t="b">
        <f t="shared" si="12"/>
        <v>0</v>
      </c>
      <c r="FJ13" s="107">
        <f t="shared" si="13"/>
        <v>186134.4</v>
      </c>
      <c r="FK13" s="107" t="b">
        <f t="shared" si="14"/>
        <v>0</v>
      </c>
      <c r="FL13" s="107">
        <f t="shared" si="15"/>
        <v>0</v>
      </c>
      <c r="FM13" s="107">
        <f t="shared" si="16"/>
        <v>186134.4</v>
      </c>
      <c r="FN13" s="107" t="b">
        <f t="shared" si="17"/>
        <v>0</v>
      </c>
      <c r="FO13" s="107">
        <f t="shared" si="18"/>
        <v>10124.545454545454</v>
      </c>
      <c r="FP13" s="107">
        <f t="shared" si="19"/>
        <v>10124.545454545454</v>
      </c>
      <c r="FQ13" s="107" t="b">
        <f>IF($H$122="yes",IF($I$122=5,SLN($E$47,0,$I$122),0))</f>
        <v>0</v>
      </c>
      <c r="FR13" s="107">
        <f>IF($H$122="no",IF($I$122=5,SYD($E$47,0,$I$122,$FH13),0))</f>
        <v>13000</v>
      </c>
      <c r="FS13" s="107">
        <f t="shared" si="20"/>
        <v>13000</v>
      </c>
      <c r="FT13" s="107" t="b">
        <f t="shared" si="21"/>
        <v>0</v>
      </c>
      <c r="FU13" s="107">
        <f t="shared" si="22"/>
        <v>21980</v>
      </c>
      <c r="FV13" s="107">
        <f t="shared" si="23"/>
        <v>21980</v>
      </c>
      <c r="FW13" s="107">
        <v>0</v>
      </c>
      <c r="FX13" s="107">
        <v>0</v>
      </c>
      <c r="FY13" s="107" t="b">
        <f>IF($H$124="yes",IF($I$124=5,SLN($E$152,0,$I$124),0))</f>
        <v>0</v>
      </c>
      <c r="FZ13" s="107">
        <f>IF($H$124="no",IF($I$124=5,SYD($E$152,0,$I$124,$FH13),0))</f>
        <v>0</v>
      </c>
      <c r="GA13" s="107">
        <v>0</v>
      </c>
      <c r="GB13" s="107">
        <v>0</v>
      </c>
      <c r="GC13" s="107">
        <v>0</v>
      </c>
      <c r="GD13" s="107">
        <v>0</v>
      </c>
      <c r="GE13" s="107">
        <v>0</v>
      </c>
      <c r="GF13" s="107">
        <v>0</v>
      </c>
      <c r="GG13" s="107">
        <v>0</v>
      </c>
      <c r="GH13" s="107">
        <v>0</v>
      </c>
      <c r="GI13" s="107">
        <v>0</v>
      </c>
      <c r="GJ13" s="107">
        <v>0</v>
      </c>
      <c r="GK13" s="107">
        <v>0</v>
      </c>
      <c r="GL13" s="107">
        <v>0</v>
      </c>
      <c r="GM13" s="10">
        <f t="shared" si="24"/>
        <v>0</v>
      </c>
      <c r="GN13" s="107">
        <v>0</v>
      </c>
      <c r="GO13" s="107">
        <v>0</v>
      </c>
      <c r="GP13" s="107">
        <f>GN13+GO13</f>
        <v>0</v>
      </c>
      <c r="GQ13" s="27">
        <f t="shared" si="25"/>
        <v>231238.94545454544</v>
      </c>
    </row>
    <row r="14" spans="1:199" ht="16.5" thickBot="1">
      <c r="A14" s="1" t="s">
        <v>108</v>
      </c>
      <c r="B14" s="418"/>
      <c r="C14" s="126"/>
      <c r="D14" s="375"/>
      <c r="E14" s="364"/>
      <c r="G14" s="394" t="s">
        <v>109</v>
      </c>
      <c r="H14" s="440"/>
      <c r="I14" s="500" t="s">
        <v>110</v>
      </c>
      <c r="J14" s="203"/>
      <c r="K14" s="30" t="s">
        <v>111</v>
      </c>
      <c r="L14" s="159">
        <f>$AD$61</f>
        <v>-496443.07508704485</v>
      </c>
      <c r="M14" s="107">
        <f>$AD$63</f>
        <v>2433.342127772659</v>
      </c>
      <c r="N14" s="107">
        <f>$AD$64</f>
        <v>22339.86950367011</v>
      </c>
      <c r="O14" s="244">
        <f>$AD$65</f>
        <v>17.701300454504548</v>
      </c>
      <c r="P14" s="96">
        <f>IF($I$14="yes",AD$2,$I$10)</f>
        <v>19687.93</v>
      </c>
      <c r="Q14" s="392">
        <f>$AD$4</f>
        <v>15.6</v>
      </c>
      <c r="R14" s="151"/>
      <c r="S14" s="36"/>
      <c r="T14" s="37"/>
      <c r="U14" s="37"/>
      <c r="V14" s="279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6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6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6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83"/>
      <c r="DO14" s="37"/>
      <c r="DP14" s="37"/>
      <c r="DQ14" s="37"/>
      <c r="DR14" s="78"/>
      <c r="DT14" s="62">
        <v>5</v>
      </c>
      <c r="DU14" s="107">
        <f t="shared" si="0"/>
        <v>28876.226061395253</v>
      </c>
      <c r="DV14" s="107">
        <f t="shared" si="1"/>
        <v>77640.11609121565</v>
      </c>
      <c r="DW14" s="107">
        <f t="shared" si="2"/>
        <v>106516.3421526109</v>
      </c>
      <c r="DX14" s="107">
        <f t="shared" si="3"/>
        <v>452860.1076669266</v>
      </c>
      <c r="DY14" s="107">
        <f t="shared" si="4"/>
        <v>40757.409690023465</v>
      </c>
      <c r="DZ14" s="107">
        <f t="shared" si="5"/>
        <v>493617.51735695003</v>
      </c>
      <c r="EA14" s="107">
        <f t="shared" si="6"/>
        <v>63341.31962995499</v>
      </c>
      <c r="EB14" s="107">
        <f t="shared" si="7"/>
        <v>170307.13774661746</v>
      </c>
      <c r="EC14" s="107">
        <f t="shared" si="8"/>
        <v>233648.45737657245</v>
      </c>
      <c r="ED14" s="107">
        <f t="shared" si="9"/>
        <v>66145.87947610045</v>
      </c>
      <c r="EE14" s="107">
        <f t="shared" si="10"/>
        <v>5953.129152849055</v>
      </c>
      <c r="EF14" s="79">
        <f t="shared" si="11"/>
        <v>72099.00862894951</v>
      </c>
      <c r="EH14" s="62">
        <v>5</v>
      </c>
      <c r="EI14" s="107">
        <v>0</v>
      </c>
      <c r="EJ14" s="107">
        <v>0</v>
      </c>
      <c r="EK14" s="107">
        <f>$E$47*$I$109</f>
        <v>48750</v>
      </c>
      <c r="EL14" s="107">
        <f>EK14/((1+$I$128)^$EH14)</f>
        <v>31684.155082044334</v>
      </c>
      <c r="EM14" s="107">
        <v>0</v>
      </c>
      <c r="EN14" s="107">
        <v>0</v>
      </c>
      <c r="EO14" s="107">
        <v>0</v>
      </c>
      <c r="EP14" s="107">
        <v>0</v>
      </c>
      <c r="EQ14" s="107">
        <v>0</v>
      </c>
      <c r="ER14" s="107">
        <v>0</v>
      </c>
      <c r="ES14" s="107">
        <v>0</v>
      </c>
      <c r="ET14" s="107">
        <v>0</v>
      </c>
      <c r="EU14" s="107">
        <v>0</v>
      </c>
      <c r="EV14" s="107">
        <v>0</v>
      </c>
      <c r="EW14" s="107">
        <f>$E$152*$I$115</f>
        <v>175275</v>
      </c>
      <c r="EX14" s="79">
        <f>EW14/((1+$I$128)^$EH14)</f>
        <v>113916.72373344247</v>
      </c>
      <c r="FH14" s="62">
        <v>5</v>
      </c>
      <c r="FI14" s="107" t="b">
        <f t="shared" si="12"/>
        <v>0</v>
      </c>
      <c r="FJ14" s="107">
        <f t="shared" si="13"/>
        <v>170623.2</v>
      </c>
      <c r="FK14" s="107" t="b">
        <f t="shared" si="14"/>
        <v>0</v>
      </c>
      <c r="FL14" s="107">
        <f t="shared" si="15"/>
        <v>0</v>
      </c>
      <c r="FM14" s="107">
        <f t="shared" si="16"/>
        <v>170623.2</v>
      </c>
      <c r="FN14" s="107" t="b">
        <f t="shared" si="17"/>
        <v>0</v>
      </c>
      <c r="FO14" s="107">
        <f t="shared" si="18"/>
        <v>8678.181818181818</v>
      </c>
      <c r="FP14" s="107">
        <f t="shared" si="19"/>
        <v>8678.181818181818</v>
      </c>
      <c r="FQ14" s="107" t="b">
        <f>IF($H$122="yes",IF($I$122=5,SLN($E$47,0,$I$122),0))</f>
        <v>0</v>
      </c>
      <c r="FR14" s="107">
        <f>IF($H$122="no",IF($I$122=5,SYD($E$47,0,$I$122,$FH14),0))</f>
        <v>6500</v>
      </c>
      <c r="FS14" s="107">
        <f t="shared" si="20"/>
        <v>6500</v>
      </c>
      <c r="FT14" s="107" t="b">
        <f t="shared" si="21"/>
        <v>0</v>
      </c>
      <c r="FU14" s="107">
        <f t="shared" si="22"/>
        <v>18840</v>
      </c>
      <c r="FV14" s="107">
        <f t="shared" si="23"/>
        <v>18840</v>
      </c>
      <c r="FW14" s="107">
        <v>0</v>
      </c>
      <c r="FX14" s="107">
        <v>0</v>
      </c>
      <c r="FY14" s="107" t="b">
        <f>IF($H$124="yes",IF($I$124=5,SLN($E$152,0,$I$124),0))</f>
        <v>0</v>
      </c>
      <c r="FZ14" s="107">
        <f>IF($H$124="no",IF($I$124=5,SYD($E$152,0,$I$124,$FH14),0))</f>
        <v>0</v>
      </c>
      <c r="GA14" s="107">
        <v>0</v>
      </c>
      <c r="GB14" s="107">
        <v>0</v>
      </c>
      <c r="GC14" s="107">
        <v>0</v>
      </c>
      <c r="GD14" s="107">
        <v>0</v>
      </c>
      <c r="GE14" s="107">
        <v>0</v>
      </c>
      <c r="GF14" s="107">
        <v>0</v>
      </c>
      <c r="GG14" s="107">
        <v>0</v>
      </c>
      <c r="GH14" s="107">
        <v>0</v>
      </c>
      <c r="GI14" s="107">
        <v>0</v>
      </c>
      <c r="GJ14" s="107">
        <v>0</v>
      </c>
      <c r="GK14" s="107">
        <v>0</v>
      </c>
      <c r="GL14" s="107">
        <v>0</v>
      </c>
      <c r="GM14" s="10">
        <f t="shared" si="24"/>
        <v>0</v>
      </c>
      <c r="GN14" s="107">
        <v>0</v>
      </c>
      <c r="GO14" s="107">
        <v>0</v>
      </c>
      <c r="GP14" s="107">
        <f>GN14+GO14</f>
        <v>0</v>
      </c>
      <c r="GQ14" s="27">
        <f t="shared" si="25"/>
        <v>204641.38181818184</v>
      </c>
    </row>
    <row r="15" spans="1:199" ht="16.5" thickTop="1">
      <c r="A15" s="6"/>
      <c r="B15" s="419"/>
      <c r="C15" s="423"/>
      <c r="D15" s="373"/>
      <c r="E15" s="366" t="s">
        <v>19</v>
      </c>
      <c r="G15" s="394" t="s">
        <v>112</v>
      </c>
      <c r="H15" s="440"/>
      <c r="I15" s="501">
        <v>0.01</v>
      </c>
      <c r="J15" s="203"/>
      <c r="K15" s="30" t="s">
        <v>113</v>
      </c>
      <c r="L15" s="159">
        <f>$AI$61</f>
        <v>-468863.28648511926</v>
      </c>
      <c r="M15" s="107">
        <f>$AI$63</f>
        <v>2301.9069662374095</v>
      </c>
      <c r="N15" s="107">
        <f>$AI$64</f>
        <v>22389.42087310427</v>
      </c>
      <c r="O15" s="244">
        <f>$AI$65</f>
        <v>17.564914018080454</v>
      </c>
      <c r="P15" s="96">
        <f>IF($I$14="yes",AI$2,$I$10)</f>
        <v>19884.8093</v>
      </c>
      <c r="Q15" s="392">
        <f>$AI$4</f>
        <v>15.6</v>
      </c>
      <c r="R15" s="151"/>
      <c r="S15" s="6" t="s">
        <v>114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6" t="s">
        <v>114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9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6" t="s">
        <v>114</v>
      </c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9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6" t="s">
        <v>114</v>
      </c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  <c r="DE15" s="38"/>
      <c r="DF15" s="38"/>
      <c r="DG15" s="38"/>
      <c r="DH15" s="38"/>
      <c r="DI15" s="38"/>
      <c r="DJ15" s="38"/>
      <c r="DK15" s="38"/>
      <c r="DL15" s="38"/>
      <c r="DM15" s="38"/>
      <c r="DN15" s="78"/>
      <c r="DO15" s="38"/>
      <c r="DP15" s="38"/>
      <c r="DQ15" s="38"/>
      <c r="DR15" s="189"/>
      <c r="DS15" s="205"/>
      <c r="DT15" s="62">
        <v>6</v>
      </c>
      <c r="DU15" s="107">
        <f t="shared" si="0"/>
        <v>31330.70527661385</v>
      </c>
      <c r="DV15" s="107">
        <f t="shared" si="1"/>
        <v>75185.63687599705</v>
      </c>
      <c r="DW15" s="107">
        <f t="shared" si="2"/>
        <v>106516.3421526109</v>
      </c>
      <c r="DX15" s="107">
        <f t="shared" si="3"/>
        <v>0</v>
      </c>
      <c r="DY15" s="107">
        <f t="shared" si="4"/>
        <v>0</v>
      </c>
      <c r="DZ15" s="107">
        <f t="shared" si="5"/>
        <v>0</v>
      </c>
      <c r="EA15" s="107">
        <f t="shared" si="6"/>
        <v>68725.3317985012</v>
      </c>
      <c r="EB15" s="107">
        <f t="shared" si="7"/>
        <v>164923.12557807125</v>
      </c>
      <c r="EC15" s="107">
        <f t="shared" si="8"/>
        <v>233648.45737657245</v>
      </c>
      <c r="ED15" s="107">
        <f t="shared" si="9"/>
        <v>0</v>
      </c>
      <c r="EE15" s="107">
        <f t="shared" si="10"/>
        <v>0</v>
      </c>
      <c r="EF15" s="79">
        <f t="shared" si="11"/>
        <v>0</v>
      </c>
      <c r="EH15" s="62">
        <v>6</v>
      </c>
      <c r="EI15" s="107">
        <v>0</v>
      </c>
      <c r="EJ15" s="107">
        <v>0</v>
      </c>
      <c r="EK15" s="107">
        <v>0</v>
      </c>
      <c r="EL15" s="107">
        <v>0</v>
      </c>
      <c r="EM15" s="107">
        <v>0</v>
      </c>
      <c r="EN15" s="107">
        <v>0</v>
      </c>
      <c r="EO15" s="107">
        <v>0</v>
      </c>
      <c r="EP15" s="107">
        <v>0</v>
      </c>
      <c r="EQ15" s="107">
        <v>0</v>
      </c>
      <c r="ER15" s="107">
        <v>0</v>
      </c>
      <c r="ES15" s="107">
        <v>0</v>
      </c>
      <c r="ET15" s="107">
        <v>0</v>
      </c>
      <c r="EU15" s="107">
        <v>0</v>
      </c>
      <c r="EV15" s="107">
        <v>0</v>
      </c>
      <c r="EW15" s="107">
        <v>0</v>
      </c>
      <c r="EX15" s="79">
        <v>0</v>
      </c>
      <c r="FH15" s="62">
        <v>6</v>
      </c>
      <c r="FI15" s="107" t="b">
        <f t="shared" si="12"/>
        <v>0</v>
      </c>
      <c r="FJ15" s="107">
        <f t="shared" si="13"/>
        <v>155112</v>
      </c>
      <c r="FK15" s="107" t="b">
        <f t="shared" si="14"/>
        <v>0</v>
      </c>
      <c r="FL15" s="107">
        <f t="shared" si="15"/>
        <v>0</v>
      </c>
      <c r="FM15" s="107">
        <f t="shared" si="16"/>
        <v>155112</v>
      </c>
      <c r="FN15" s="107" t="b">
        <f t="shared" si="17"/>
        <v>0</v>
      </c>
      <c r="FO15" s="107">
        <f t="shared" si="18"/>
        <v>7231.818181818182</v>
      </c>
      <c r="FP15" s="107">
        <f t="shared" si="19"/>
        <v>7231.818181818182</v>
      </c>
      <c r="FQ15" s="107">
        <v>0</v>
      </c>
      <c r="FR15" s="107">
        <v>0</v>
      </c>
      <c r="FS15" s="107">
        <f t="shared" si="20"/>
        <v>0</v>
      </c>
      <c r="FT15" s="107" t="b">
        <f t="shared" si="21"/>
        <v>0</v>
      </c>
      <c r="FU15" s="107">
        <f t="shared" si="22"/>
        <v>15700</v>
      </c>
      <c r="FV15" s="107">
        <f t="shared" si="23"/>
        <v>15700</v>
      </c>
      <c r="FW15" s="107">
        <v>0</v>
      </c>
      <c r="FX15" s="107">
        <v>0</v>
      </c>
      <c r="FY15" s="107">
        <v>0</v>
      </c>
      <c r="FZ15" s="107">
        <v>0</v>
      </c>
      <c r="GA15" s="107" t="b">
        <f>IF($H$124="yes",IF($I$124=3,SLN($EW$14,0,$I$124),0))</f>
        <v>0</v>
      </c>
      <c r="GB15" s="107">
        <f>IF($H$124="no",IF($I$124=3,SYD($EW$14,0,$I$124,$FH10),0))</f>
        <v>87637.5</v>
      </c>
      <c r="GC15" s="107" t="b">
        <f>IF($H$124="yes",IF($I$124=5,SLN($EW$14,0,$I$124),0))</f>
        <v>0</v>
      </c>
      <c r="GD15" s="107">
        <f>IF($H$124="no",IF($I$124=5,SYD($EW$14,0,$I$124,$FH10),0))</f>
        <v>0</v>
      </c>
      <c r="GE15" s="107">
        <v>0</v>
      </c>
      <c r="GF15" s="107">
        <v>0</v>
      </c>
      <c r="GG15" s="107">
        <v>0</v>
      </c>
      <c r="GH15" s="107">
        <v>0</v>
      </c>
      <c r="GI15" s="107">
        <v>0</v>
      </c>
      <c r="GJ15" s="107">
        <v>0</v>
      </c>
      <c r="GK15" s="107">
        <v>0</v>
      </c>
      <c r="GL15" s="107">
        <v>0</v>
      </c>
      <c r="GM15" s="10">
        <f t="shared" si="24"/>
        <v>87637.5</v>
      </c>
      <c r="GN15" s="107">
        <f>IF(H126="yes",SLN(($EK$14),0,5),0)</f>
        <v>0</v>
      </c>
      <c r="GO15" s="107">
        <f>IF($H$126="no",SYD(($EK$14),0,5,$FH10),0)</f>
        <v>16250</v>
      </c>
      <c r="GP15" s="107">
        <f aca="true" t="shared" si="26" ref="GP15:GP29">GO15+GN15</f>
        <v>16250</v>
      </c>
      <c r="GQ15" s="27">
        <f t="shared" si="25"/>
        <v>281931.3181818182</v>
      </c>
    </row>
    <row r="16" spans="1:199" ht="15.75">
      <c r="A16" s="9"/>
      <c r="B16" s="420"/>
      <c r="C16" s="424"/>
      <c r="D16" s="333" t="s">
        <v>51</v>
      </c>
      <c r="E16" s="132" t="s">
        <v>52</v>
      </c>
      <c r="G16" s="26" t="s">
        <v>115</v>
      </c>
      <c r="H16" s="440"/>
      <c r="I16" s="129"/>
      <c r="J16" s="203"/>
      <c r="K16" s="30" t="s">
        <v>116</v>
      </c>
      <c r="L16" s="159">
        <f>$AN$61</f>
        <v>-441029.0287137949</v>
      </c>
      <c r="M16" s="107">
        <f>$AN$63</f>
        <v>2182.9107688330114</v>
      </c>
      <c r="N16" s="107">
        <f>$AN$64</f>
        <v>22439.581691684805</v>
      </c>
      <c r="O16" s="244">
        <f>$AN$65</f>
        <v>17.42996644188387</v>
      </c>
      <c r="P16" s="96">
        <f>IF($I$14="yes",AN$2,$I$10)</f>
        <v>20083.657393</v>
      </c>
      <c r="Q16" s="392">
        <f>$AN$4</f>
        <v>15.6</v>
      </c>
      <c r="R16" s="151"/>
      <c r="S16" s="9" t="s">
        <v>117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40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9" t="s">
        <v>117</v>
      </c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40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9" t="s">
        <v>117</v>
      </c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40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9" t="s">
        <v>117</v>
      </c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40"/>
      <c r="DE16" s="34"/>
      <c r="DF16" s="34"/>
      <c r="DG16" s="34"/>
      <c r="DH16" s="34"/>
      <c r="DI16" s="34"/>
      <c r="DJ16" s="34"/>
      <c r="DK16" s="34"/>
      <c r="DL16" s="34"/>
      <c r="DM16" s="34"/>
      <c r="DN16" s="78"/>
      <c r="DO16" s="34"/>
      <c r="DP16" s="34"/>
      <c r="DQ16" s="34"/>
      <c r="DR16" s="78"/>
      <c r="DT16" s="62">
        <v>7</v>
      </c>
      <c r="DU16" s="107">
        <f t="shared" si="0"/>
        <v>33993.81522512602</v>
      </c>
      <c r="DV16" s="107">
        <f t="shared" si="1"/>
        <v>72522.52692748488</v>
      </c>
      <c r="DW16" s="107">
        <f t="shared" si="2"/>
        <v>106516.3421526109</v>
      </c>
      <c r="DX16" s="107">
        <f t="shared" si="3"/>
        <v>0</v>
      </c>
      <c r="DY16" s="107">
        <f t="shared" si="4"/>
        <v>0</v>
      </c>
      <c r="DZ16" s="107">
        <f t="shared" si="5"/>
        <v>0</v>
      </c>
      <c r="EA16" s="107">
        <f t="shared" si="6"/>
        <v>74566.98500137375</v>
      </c>
      <c r="EB16" s="107">
        <f t="shared" si="7"/>
        <v>159081.4723751987</v>
      </c>
      <c r="EC16" s="107">
        <f t="shared" si="8"/>
        <v>233648.45737657245</v>
      </c>
      <c r="ED16" s="107">
        <f t="shared" si="9"/>
        <v>0</v>
      </c>
      <c r="EE16" s="107">
        <f t="shared" si="10"/>
        <v>0</v>
      </c>
      <c r="EF16" s="79">
        <f t="shared" si="11"/>
        <v>0</v>
      </c>
      <c r="EH16" s="62">
        <v>7</v>
      </c>
      <c r="EI16" s="107">
        <v>0</v>
      </c>
      <c r="EJ16" s="107">
        <v>0</v>
      </c>
      <c r="EK16" s="107">
        <v>0</v>
      </c>
      <c r="EL16" s="107">
        <v>0</v>
      </c>
      <c r="EM16" s="107">
        <v>0</v>
      </c>
      <c r="EN16" s="107">
        <v>0</v>
      </c>
      <c r="EO16" s="107">
        <v>0</v>
      </c>
      <c r="EP16" s="107">
        <v>0</v>
      </c>
      <c r="EQ16" s="107">
        <v>0</v>
      </c>
      <c r="ER16" s="107">
        <v>0</v>
      </c>
      <c r="ES16" s="107">
        <v>0</v>
      </c>
      <c r="ET16" s="107">
        <v>0</v>
      </c>
      <c r="EU16" s="107">
        <v>0</v>
      </c>
      <c r="EV16" s="107">
        <v>0</v>
      </c>
      <c r="EW16" s="107">
        <v>0</v>
      </c>
      <c r="EX16" s="79">
        <v>0</v>
      </c>
      <c r="FH16" s="62">
        <v>7</v>
      </c>
      <c r="FI16" s="107" t="b">
        <f t="shared" si="12"/>
        <v>0</v>
      </c>
      <c r="FJ16" s="107">
        <f t="shared" si="13"/>
        <v>139600.8</v>
      </c>
      <c r="FK16" s="107" t="b">
        <f t="shared" si="14"/>
        <v>0</v>
      </c>
      <c r="FL16" s="107">
        <f t="shared" si="15"/>
        <v>0</v>
      </c>
      <c r="FM16" s="107">
        <f t="shared" si="16"/>
        <v>139600.8</v>
      </c>
      <c r="FN16" s="107" t="b">
        <f t="shared" si="17"/>
        <v>0</v>
      </c>
      <c r="FO16" s="107">
        <f t="shared" si="18"/>
        <v>5785.454545454545</v>
      </c>
      <c r="FP16" s="107">
        <f t="shared" si="19"/>
        <v>5785.454545454545</v>
      </c>
      <c r="FQ16" s="107">
        <v>0</v>
      </c>
      <c r="FR16" s="107">
        <v>0</v>
      </c>
      <c r="FS16" s="107">
        <f t="shared" si="20"/>
        <v>0</v>
      </c>
      <c r="FT16" s="107" t="b">
        <f t="shared" si="21"/>
        <v>0</v>
      </c>
      <c r="FU16" s="107">
        <f t="shared" si="22"/>
        <v>12560</v>
      </c>
      <c r="FV16" s="107">
        <f t="shared" si="23"/>
        <v>12560</v>
      </c>
      <c r="FW16" s="107">
        <v>0</v>
      </c>
      <c r="FX16" s="107">
        <v>0</v>
      </c>
      <c r="FY16" s="107">
        <v>0</v>
      </c>
      <c r="FZ16" s="107">
        <v>0</v>
      </c>
      <c r="GA16" s="107" t="b">
        <f>IF($H$124="yes",IF($I$124=3,SLN($EW$14,0,$I$124),0))</f>
        <v>0</v>
      </c>
      <c r="GB16" s="107">
        <f>IF($H$124="no",IF($I$124=3,SYD($EW$14,0,$I$124,$FH11),0))</f>
        <v>58425</v>
      </c>
      <c r="GC16" s="107" t="b">
        <f>IF($H$124="yes",IF($I$124=5,SLN($EW$14,0,$I$124),0))</f>
        <v>0</v>
      </c>
      <c r="GD16" s="107">
        <f>IF($H$124="no",IF($I$124=5,SYD($EW$14,0,$I$124,$FH11),0))</f>
        <v>0</v>
      </c>
      <c r="GE16" s="107">
        <v>0</v>
      </c>
      <c r="GF16" s="107">
        <v>0</v>
      </c>
      <c r="GG16" s="107">
        <v>0</v>
      </c>
      <c r="GH16" s="107">
        <v>0</v>
      </c>
      <c r="GI16" s="107">
        <v>0</v>
      </c>
      <c r="GJ16" s="107">
        <v>0</v>
      </c>
      <c r="GK16" s="107">
        <v>0</v>
      </c>
      <c r="GL16" s="107">
        <v>0</v>
      </c>
      <c r="GM16" s="10">
        <f t="shared" si="24"/>
        <v>58425</v>
      </c>
      <c r="GN16" s="107">
        <f>IF($H$126="yes",SLN(($EK$14),0,5),0)</f>
        <v>0</v>
      </c>
      <c r="GO16" s="107">
        <f>IF($H$126="no",SYD(($EK$14),0,5,$FH11),0)</f>
        <v>13000</v>
      </c>
      <c r="GP16" s="107">
        <f t="shared" si="26"/>
        <v>13000</v>
      </c>
      <c r="GQ16" s="27">
        <f t="shared" si="25"/>
        <v>229371.25454545452</v>
      </c>
    </row>
    <row r="17" spans="1:199" ht="16.5" thickBot="1">
      <c r="A17" s="11" t="s">
        <v>63</v>
      </c>
      <c r="B17" s="421" t="s">
        <v>64</v>
      </c>
      <c r="C17" s="421" t="s">
        <v>65</v>
      </c>
      <c r="D17" s="374" t="s">
        <v>66</v>
      </c>
      <c r="E17" s="295" t="s">
        <v>66</v>
      </c>
      <c r="G17" s="394" t="s">
        <v>118</v>
      </c>
      <c r="H17" s="440"/>
      <c r="I17" s="502">
        <v>0.33</v>
      </c>
      <c r="J17" s="203"/>
      <c r="K17" s="30" t="s">
        <v>119</v>
      </c>
      <c r="L17" s="159">
        <f>$AT$61</f>
        <v>95183.52299961355</v>
      </c>
      <c r="M17" s="107">
        <f>$AT$63</f>
        <v>998.3853641277872</v>
      </c>
      <c r="N17" s="107">
        <f>$AT$64</f>
        <v>19776.034976547446</v>
      </c>
      <c r="O17" s="244">
        <f>$AT$65</f>
        <v>15.208964351642226</v>
      </c>
      <c r="P17" s="96">
        <f>IF($I$14="yes",AT$2,$I$10)</f>
        <v>20284.49396693</v>
      </c>
      <c r="Q17" s="392">
        <f>$AT$4</f>
        <v>15.6</v>
      </c>
      <c r="R17" s="246"/>
      <c r="S17" s="29" t="s">
        <v>120</v>
      </c>
      <c r="T17" s="100">
        <f>$I$7*$I$30*365+$Q$53</f>
        <v>1401600</v>
      </c>
      <c r="U17" s="98">
        <f>T17/$I$7</f>
        <v>1168</v>
      </c>
      <c r="V17" s="171">
        <f>IF($I$14="no",T17/(($I$7*$I$10)/100),T17/$T$1)</f>
        <v>6.051813471502591</v>
      </c>
      <c r="W17" s="47">
        <f>(T17/$T$13)*100</f>
        <v>35.8705145061758</v>
      </c>
      <c r="X17" s="47">
        <f>(T17/$T$36)*100</f>
        <v>40.29009037545027</v>
      </c>
      <c r="Y17" s="100">
        <f>$I$7*$I$30*365+$Q$54</f>
        <v>1407524.9323987025</v>
      </c>
      <c r="Z17" s="98">
        <f>Y17/$I$7</f>
        <v>1172.9374436655853</v>
      </c>
      <c r="AA17" s="171">
        <f>IF($I$14="no",Y17/(($I$7*$I$10)/100),Y17/$Y$1)</f>
        <v>6.017223842741422</v>
      </c>
      <c r="AB17" s="47">
        <f>(Y17/$Y$13)*100</f>
        <v>35.692121948671215</v>
      </c>
      <c r="AC17" s="47">
        <f>(Y17/$Y$36)*100</f>
        <v>40.35540510293664</v>
      </c>
      <c r="AD17" s="100">
        <f>$I$7*$I$30*365+$Q$55</f>
        <v>1413530.2295719616</v>
      </c>
      <c r="AE17" s="98">
        <f>AD17/$I$7</f>
        <v>1177.9418579766345</v>
      </c>
      <c r="AF17" s="171">
        <f>IF($I$14="no",AD17/(($I$7*$I$10)/100),AD17/$AD$1)</f>
        <v>5.983066061168618</v>
      </c>
      <c r="AG17" s="47">
        <f>(AD17/$AD$13)*100</f>
        <v>35.51576356109315</v>
      </c>
      <c r="AH17" s="47">
        <f>(AD17/$AD$36)*100</f>
        <v>40.42138951701007</v>
      </c>
      <c r="AI17" s="100">
        <f>$I$7*$I$30*365+$Q$56</f>
        <v>1419616.801270036</v>
      </c>
      <c r="AJ17" s="98">
        <f>AI17/$I$7</f>
        <v>1183.0140010583634</v>
      </c>
      <c r="AK17" s="171">
        <f>IF($I$14="no",AI17/(($I$7*$I$10)/100),AI17/$AI$1)</f>
        <v>5.949335410817158</v>
      </c>
      <c r="AL17" s="47">
        <f>(AI17/$AI$13)*100</f>
        <v>35.34142235369689</v>
      </c>
      <c r="AM17" s="47">
        <f>(AI17/$AI$36)*100</f>
        <v>40.4880438957473</v>
      </c>
      <c r="AN17" s="100">
        <f>$I$7*$I$30*365+$Q$57</f>
        <v>1425785.567401712</v>
      </c>
      <c r="AO17" s="98">
        <f>AN17/$I$7</f>
        <v>1188.1546395014268</v>
      </c>
      <c r="AP17" s="171">
        <f>IF($I$14="no",AN17/(($I$7*$I$10)/100),AN17/$AN$1)</f>
        <v>5.916027226771696</v>
      </c>
      <c r="AQ17" s="47">
        <f>(AN17/$AN$13)*100</f>
        <v>35.169081424357586</v>
      </c>
      <c r="AR17" s="47">
        <f>(AN17/$AN$36)*100</f>
        <v>40.55536842873221</v>
      </c>
      <c r="AS17" s="29" t="s">
        <v>120</v>
      </c>
      <c r="AT17" s="100">
        <f>$I$7*$I$30*365+$Q$58</f>
        <v>1432037.4581464985</v>
      </c>
      <c r="AU17" s="98">
        <f>AT17/$I$7</f>
        <v>1193.3645484554154</v>
      </c>
      <c r="AV17" s="171">
        <f>IF($I$14="no",AT17/(($I$7*$I$10)/100),AT17/$AT$1)</f>
        <v>5.883136894619944</v>
      </c>
      <c r="AW17" s="47">
        <f>(AT17/$AT$13)*100</f>
        <v>34.99872395920795</v>
      </c>
      <c r="AX17" s="47">
        <f>(AT17/$AT$36)*100</f>
        <v>40.62336321608389</v>
      </c>
      <c r="AY17" s="100">
        <f>$I$7*$I$30*365+$Q$59</f>
        <v>1438308.7859238198</v>
      </c>
      <c r="AZ17" s="98">
        <f>AY17/$I$7</f>
        <v>1198.5906549365166</v>
      </c>
      <c r="BA17" s="171">
        <f>IF($I$14="no",AY17/(($I$7*$I$10)/100),AY17/$AY$1)</f>
        <v>5.850396971518987</v>
      </c>
      <c r="BB17" s="47">
        <f>(AY17/$AY$13)*100</f>
        <v>34.828768257298336</v>
      </c>
      <c r="BC17" s="47">
        <f>(AY17/$AY$36)*100</f>
        <v>40.69094389027853</v>
      </c>
      <c r="BD17" s="100">
        <f>$I$7*$I$30*365+$Q$60</f>
        <v>1444718.6066038772</v>
      </c>
      <c r="BE17" s="98">
        <f>BD17/$I$7</f>
        <v>1203.9321721698977</v>
      </c>
      <c r="BF17" s="171">
        <f>IF($I$14="no",BD17/(($I$7*$I$10)/100),BD17/$BD$1)</f>
        <v>5.818286391842709</v>
      </c>
      <c r="BG17" s="47">
        <f>(BD17/$BD$13)*100</f>
        <v>34.662074485936074</v>
      </c>
      <c r="BH17" s="47">
        <f>(BD17/$BD$36)*100</f>
        <v>40.76009698894587</v>
      </c>
      <c r="BI17" s="100">
        <f>$I$7*$I$30*365+$Q$61</f>
        <v>1451214.2936855617</v>
      </c>
      <c r="BJ17" s="98">
        <f>BI17/$I$7</f>
        <v>1209.3452447379682</v>
      </c>
      <c r="BK17" s="171">
        <f>IF($I$14="no",BI17/(($I$7*$I$10)/100),BI17/$BI$1)</f>
        <v>5.786580537327872</v>
      </c>
      <c r="BL17" s="47">
        <f>(BI17/$BI$13)*100</f>
        <v>34.49731642649391</v>
      </c>
      <c r="BM17" s="47">
        <f>(BI17/$BI$36)*100</f>
        <v>40.82991973680283</v>
      </c>
      <c r="BN17" s="100">
        <f>$I$7*$I$30*365+$Q$62</f>
        <v>1457796.818462845</v>
      </c>
      <c r="BO17" s="98">
        <f>BN17/$I$7</f>
        <v>1214.8306820523708</v>
      </c>
      <c r="BP17" s="171">
        <f>IF($I$14="no",BN17/(($I$7*$I$10)/100),BN17/$BN$1)</f>
        <v>5.75527498605709</v>
      </c>
      <c r="BQ17" s="47">
        <f>(BN17/$BN$13)*100</f>
        <v>34.334477608856815</v>
      </c>
      <c r="BR17" s="47">
        <f>(BN17/$BN$36)*100</f>
        <v>40.900411883093895</v>
      </c>
      <c r="BS17" s="29" t="s">
        <v>120</v>
      </c>
      <c r="BT17" s="100">
        <f>$I$7*$I$30*365+$Q$63</f>
        <v>1464467.163068938</v>
      </c>
      <c r="BU17" s="98">
        <f>BT17/$I$7</f>
        <v>1220.3893025574484</v>
      </c>
      <c r="BV17" s="171">
        <f>IF($I$14="no",BT17/(($I$7*$I$10)/100),BT17/$BT$1)</f>
        <v>5.724365364000654</v>
      </c>
      <c r="BW17" s="47">
        <f>(BT17/$BT$13)*100</f>
        <v>34.17354165399237</v>
      </c>
      <c r="BX17" s="47">
        <f>(BT17/$BT$36)*100</f>
        <v>40.97157308324413</v>
      </c>
      <c r="BY17" s="100">
        <f>$I$7*$I$30*365+$Q$64</f>
        <v>1471226.3205959464</v>
      </c>
      <c r="BZ17" s="98">
        <f>BY17/$I$7</f>
        <v>1226.0219338299553</v>
      </c>
      <c r="CA17" s="171">
        <f>IF($I$14="no",BY17/(($I$7*$I$10)/100),BY17/$BY$1)</f>
        <v>5.693847344501733</v>
      </c>
      <c r="CB17" s="47">
        <f>(BY17/$BY$13)*100</f>
        <v>34.01449227442873</v>
      </c>
      <c r="CC17" s="47">
        <f>(BY17/$BY$36)*100</f>
        <v>41.043402898016595</v>
      </c>
      <c r="CD17" s="100">
        <f>$I$7*$I$30*365+$Q$65</f>
        <v>1478075.295215835</v>
      </c>
      <c r="CE17" s="98">
        <f>CD17/$I$7</f>
        <v>1231.7294126798627</v>
      </c>
      <c r="CF17" s="171">
        <f>IF($I$14="no",CD17/(($I$7*$I$10)/100),CD17/$CD$1)</f>
        <v>5.663716647767083</v>
      </c>
      <c r="CG17" s="47">
        <f>(CD17/$CD$13)*100</f>
        <v>33.857313274707224</v>
      </c>
      <c r="CH17" s="47">
        <f>(CD17/$CD$36)*100</f>
        <v>41.115900792694426</v>
      </c>
      <c r="CI17" s="100">
        <f>$I$7*$I$30*365+$Q$66</f>
        <v>1485015.1023027156</v>
      </c>
      <c r="CJ17" s="98">
        <f>CI17/$I$7</f>
        <v>1237.512585252263</v>
      </c>
      <c r="CK17" s="171">
        <f>IF($I$14="no",CI17/(($I$7*$I$10)/100),CI17/$CI$1)</f>
        <v>5.633969040363199</v>
      </c>
      <c r="CL17" s="47">
        <f>(CI17/$CI$13)*100</f>
        <v>33.701988551810125</v>
      </c>
      <c r="CM17" s="47">
        <f>(CI17/$CI$36)*100</f>
        <v>41.189066136288446</v>
      </c>
      <c r="CN17" s="100">
        <f>$I$7*$I$30*365+$Q$67</f>
        <v>1492046.7685564738</v>
      </c>
      <c r="CO17" s="98">
        <f>CN17/$I$7</f>
        <v>1243.3723071303948</v>
      </c>
      <c r="CP17" s="171">
        <f>IF($I$14="no",CN17/(($I$7*$I$10)/100),CN17/$CN$1)</f>
        <v>5.604600334717848</v>
      </c>
      <c r="CQ17" s="47">
        <f>(CN17/$CN$13)*100</f>
        <v>33.548502095564004</v>
      </c>
      <c r="CR17" s="47">
        <f>(CN17/$CN$36)*100</f>
        <v>41.26289820077085</v>
      </c>
      <c r="CS17" s="29" t="s">
        <v>120</v>
      </c>
      <c r="CT17" s="100">
        <f>$I$7*$I$30*365+$Q$68</f>
        <v>1499171.3321277446</v>
      </c>
      <c r="CU17" s="98">
        <f>CT17/$I$7</f>
        <v>1249.3094434397872</v>
      </c>
      <c r="CV17" s="171">
        <f>IF($I$14="no",CT17/(($I$7*$I$10)/100),CT17/$CT$1)</f>
        <v>5.575606388626918</v>
      </c>
      <c r="CW17" s="47">
        <f>(CT17/$CT$13)*100</f>
        <v>33.39683798901903</v>
      </c>
      <c r="CX17" s="47">
        <f>(CT17/$CT$36)*100</f>
        <v>41.33739616033589</v>
      </c>
      <c r="CY17" s="100">
        <f>$I$7*$I$30*365+$Q$69</f>
        <v>1506389.8427442606</v>
      </c>
      <c r="CZ17" s="98">
        <f>CY17/$I$7</f>
        <v>1255.3248689535505</v>
      </c>
      <c r="DA17" s="171">
        <f>IF($I$14="no",CY17/(($I$7*$I$10)/100),CY17/$CY$1)</f>
        <v>5.546983104766554</v>
      </c>
      <c r="DB17" s="47">
        <f>(CY17/$CY$13)*100</f>
        <v>33.246980408804774</v>
      </c>
      <c r="DC17" s="47">
        <f>(CY17/$CY$36)*100</f>
        <v>41.412559090688305</v>
      </c>
      <c r="DD17" s="100">
        <f>$I$7*$I$30*365+$Q$70</f>
        <v>1513703.3618385764</v>
      </c>
      <c r="DE17" s="98">
        <f>DD17/$I$7</f>
        <v>1261.4194681988135</v>
      </c>
      <c r="DF17" s="171">
        <f>IF($I$14="no",DD17/(($I$7*$I$10)/100),DD17/$DD$1)</f>
        <v>5.518726430210495</v>
      </c>
      <c r="DG17" s="47">
        <f>(DD17/$DD$13)*100</f>
        <v>33.098913625462835</v>
      </c>
      <c r="DH17" s="47">
        <f>(DD17/$DD$36)*100</f>
        <v>41.48838596835993</v>
      </c>
      <c r="DI17" s="100">
        <f>$I$7*$I$30*365+$Q$71</f>
        <v>1521112.9626771938</v>
      </c>
      <c r="DJ17" s="98">
        <f>DI17/$I$7</f>
        <v>1267.594135564328</v>
      </c>
      <c r="DK17" s="171">
        <f>IF($I$14="no",DI17/(($I$7*$I$10)/100),DI17/$DI$1)</f>
        <v>5.490832355952576</v>
      </c>
      <c r="DL17" s="47">
        <f>(DI17/$DI$13)*100</f>
        <v>32.95262200375674</v>
      </c>
      <c r="DM17" s="47">
        <f>(DI17/$DI$36)*100</f>
        <v>41.56487567005569</v>
      </c>
      <c r="DN17" s="104">
        <f>$I$7*$I$30*365+$Q$72</f>
        <v>1528619.7304910966</v>
      </c>
      <c r="DO17" s="98">
        <f>DN17/$I$7</f>
        <v>1273.8497754092473</v>
      </c>
      <c r="DP17" s="171">
        <f>IF($I$14="no",DN17/(($I$7*$I$10)/100),DN17/$DN$1)</f>
        <v>5.4632969164343255</v>
      </c>
      <c r="DQ17" s="47">
        <f>(DN17/$DN$13)*100</f>
        <v>32.80809000295954</v>
      </c>
      <c r="DR17" s="50">
        <f>(DN17/$DN$36)*100</f>
        <v>41.64202697202923</v>
      </c>
      <c r="DT17" s="62">
        <v>8</v>
      </c>
      <c r="DU17" s="107">
        <f t="shared" si="0"/>
        <v>36883.28951926173</v>
      </c>
      <c r="DV17" s="107">
        <f t="shared" si="1"/>
        <v>69633.05263334917</v>
      </c>
      <c r="DW17" s="107">
        <f t="shared" si="2"/>
        <v>106516.3421526109</v>
      </c>
      <c r="DX17" s="107">
        <f t="shared" si="3"/>
        <v>0</v>
      </c>
      <c r="DY17" s="107">
        <f t="shared" si="4"/>
        <v>0</v>
      </c>
      <c r="DZ17" s="107">
        <f t="shared" si="5"/>
        <v>0</v>
      </c>
      <c r="EA17" s="107">
        <f t="shared" si="6"/>
        <v>80905.17872649053</v>
      </c>
      <c r="EB17" s="107">
        <f t="shared" si="7"/>
        <v>152743.27865008192</v>
      </c>
      <c r="EC17" s="107">
        <f t="shared" si="8"/>
        <v>233648.45737657245</v>
      </c>
      <c r="ED17" s="107">
        <f t="shared" si="9"/>
        <v>0</v>
      </c>
      <c r="EE17" s="107">
        <f t="shared" si="10"/>
        <v>0</v>
      </c>
      <c r="EF17" s="79">
        <f t="shared" si="11"/>
        <v>0</v>
      </c>
      <c r="EH17" s="62">
        <v>8</v>
      </c>
      <c r="EI17" s="107">
        <v>0</v>
      </c>
      <c r="EJ17" s="107">
        <v>0</v>
      </c>
      <c r="EK17" s="107">
        <v>0</v>
      </c>
      <c r="EL17" s="107">
        <v>0</v>
      </c>
      <c r="EM17" s="107">
        <v>0</v>
      </c>
      <c r="EN17" s="107">
        <v>0</v>
      </c>
      <c r="EO17" s="107">
        <v>0</v>
      </c>
      <c r="EP17" s="107">
        <v>0</v>
      </c>
      <c r="EQ17" s="107">
        <v>0</v>
      </c>
      <c r="ER17" s="107">
        <v>0</v>
      </c>
      <c r="ES17" s="107">
        <v>0</v>
      </c>
      <c r="ET17" s="107">
        <v>0</v>
      </c>
      <c r="EU17" s="107">
        <v>0</v>
      </c>
      <c r="EV17" s="107">
        <v>0</v>
      </c>
      <c r="EW17" s="107">
        <v>0</v>
      </c>
      <c r="EX17" s="79">
        <v>0</v>
      </c>
      <c r="FH17" s="62">
        <v>8</v>
      </c>
      <c r="FI17" s="107" t="b">
        <f t="shared" si="12"/>
        <v>0</v>
      </c>
      <c r="FJ17" s="107">
        <f t="shared" si="13"/>
        <v>124089.6</v>
      </c>
      <c r="FK17" s="107" t="b">
        <f t="shared" si="14"/>
        <v>0</v>
      </c>
      <c r="FL17" s="107">
        <f t="shared" si="15"/>
        <v>0</v>
      </c>
      <c r="FM17" s="107">
        <f t="shared" si="16"/>
        <v>124089.6</v>
      </c>
      <c r="FN17" s="107" t="b">
        <f t="shared" si="17"/>
        <v>0</v>
      </c>
      <c r="FO17" s="107">
        <f t="shared" si="18"/>
        <v>4339.090909090909</v>
      </c>
      <c r="FP17" s="107">
        <f t="shared" si="19"/>
        <v>4339.090909090909</v>
      </c>
      <c r="FQ17" s="107">
        <v>0</v>
      </c>
      <c r="FR17" s="107">
        <v>0</v>
      </c>
      <c r="FS17" s="107">
        <f t="shared" si="20"/>
        <v>0</v>
      </c>
      <c r="FT17" s="107" t="b">
        <f t="shared" si="21"/>
        <v>0</v>
      </c>
      <c r="FU17" s="107">
        <f t="shared" si="22"/>
        <v>9420</v>
      </c>
      <c r="FV17" s="107">
        <f t="shared" si="23"/>
        <v>9420</v>
      </c>
      <c r="FW17" s="107">
        <v>0</v>
      </c>
      <c r="FX17" s="107">
        <v>0</v>
      </c>
      <c r="FY17" s="107">
        <v>0</v>
      </c>
      <c r="FZ17" s="107">
        <v>0</v>
      </c>
      <c r="GA17" s="107" t="b">
        <f>IF($H$124="yes",IF($I$124=3,SLN($EW$14,0,$I$124),0))</f>
        <v>0</v>
      </c>
      <c r="GB17" s="107">
        <f>IF($H$124="no",IF($I$124=3,SYD($EW$14,0,$I$124,$FH12),0))</f>
        <v>29212.5</v>
      </c>
      <c r="GC17" s="107" t="b">
        <f>IF($H$124="yes",IF($I$124=5,SLN($EW$14,0,$I$124),0))</f>
        <v>0</v>
      </c>
      <c r="GD17" s="107">
        <f>IF($H$124="no",IF($I$124=5,SYD($EW$14,0,$I$124,$FH12),0))</f>
        <v>0</v>
      </c>
      <c r="GE17" s="107">
        <v>0</v>
      </c>
      <c r="GF17" s="107">
        <v>0</v>
      </c>
      <c r="GG17" s="107">
        <v>0</v>
      </c>
      <c r="GH17" s="107">
        <v>0</v>
      </c>
      <c r="GI17" s="107">
        <v>0</v>
      </c>
      <c r="GJ17" s="107">
        <v>0</v>
      </c>
      <c r="GK17" s="107">
        <v>0</v>
      </c>
      <c r="GL17" s="107">
        <v>0</v>
      </c>
      <c r="GM17" s="10">
        <f t="shared" si="24"/>
        <v>29212.5</v>
      </c>
      <c r="GN17" s="107">
        <f>IF($H$126="yes",SLN(($EK$14),0,5),0)</f>
        <v>0</v>
      </c>
      <c r="GO17" s="107">
        <f>IF($H$126="no",SYD(($EK$14),0,5,$FH12),0)</f>
        <v>9750</v>
      </c>
      <c r="GP17" s="107">
        <f t="shared" si="26"/>
        <v>9750</v>
      </c>
      <c r="GQ17" s="27">
        <f t="shared" si="25"/>
        <v>176811.19090909092</v>
      </c>
    </row>
    <row r="18" spans="1:199" ht="17.25" thickBot="1" thickTop="1">
      <c r="A18" s="477">
        <v>1200</v>
      </c>
      <c r="B18" s="408" t="s">
        <v>121</v>
      </c>
      <c r="C18" s="409" t="s">
        <v>122</v>
      </c>
      <c r="D18" s="473">
        <v>2000</v>
      </c>
      <c r="E18" s="369">
        <f>A18*D18</f>
        <v>2400000</v>
      </c>
      <c r="G18" s="394" t="s">
        <v>123</v>
      </c>
      <c r="H18" s="440"/>
      <c r="I18" s="499">
        <v>1350</v>
      </c>
      <c r="J18" s="203"/>
      <c r="K18" s="30" t="s">
        <v>124</v>
      </c>
      <c r="L18" s="159">
        <f>$AY$61</f>
        <v>123598.67990574194</v>
      </c>
      <c r="M18" s="107">
        <f>$AY$63</f>
        <v>950.7013086258721</v>
      </c>
      <c r="N18" s="107">
        <f>$AY$64</f>
        <v>19827.089548128457</v>
      </c>
      <c r="O18" s="244">
        <f>$AY$65</f>
        <v>15.097255839857883</v>
      </c>
      <c r="P18" s="96">
        <f>IF($I$14="yes",AY$2,$I$10)</f>
        <v>20487.3389065993</v>
      </c>
      <c r="Q18" s="392">
        <f>$AY$4</f>
        <v>15.6</v>
      </c>
      <c r="R18" s="245"/>
      <c r="S18" s="29" t="s">
        <v>103</v>
      </c>
      <c r="T18" s="386">
        <f>IF((($I$33*$I$7*365)/2000)&gt;(($I$64*$A$10*$I$61)*(1-$I$65)),((($I$33*$I$7*365)/2000)-(($I$64*$A$10*$I$61)*(1-$I$65)))*$I$32,0)</f>
        <v>59.999999999990905</v>
      </c>
      <c r="U18" s="460">
        <f>T18/$I$7</f>
        <v>0.04999999999999242</v>
      </c>
      <c r="V18" s="464">
        <f>IF($I$14="no",T18/(($I$7*$I$10)/100),T18/$T$1)</f>
        <v>0.0002590673575129141</v>
      </c>
      <c r="W18" s="47">
        <f>(T18/$T$13)*100</f>
        <v>0.0015355528470107178</v>
      </c>
      <c r="X18" s="47">
        <f>(T18/$T$36)*100</f>
        <v>0.0017247470194967532</v>
      </c>
      <c r="Y18" s="386">
        <f>IF((($I$33*$I$7*365)/2000)&gt;(($I$64*$A$10*$I$61)*(1-$I$65)),((($I$33*$I$7*365)/2000)-(($I$64*$A$10*$I$61)*(1-$I$65)))*$I$32,0)</f>
        <v>59.999999999990905</v>
      </c>
      <c r="Z18" s="460">
        <f>Y18/$I$7</f>
        <v>0.04999999999999242</v>
      </c>
      <c r="AA18" s="464">
        <f>IF($I$14="no",Y18/(($I$7*$I$10)/100),Y18/$Y$1)</f>
        <v>0.0002565023341712021</v>
      </c>
      <c r="AB18" s="47">
        <f>(Y18/$Y$13)*100</f>
        <v>0.0015214844637035023</v>
      </c>
      <c r="AC18" s="47">
        <f>(Y18/$Y$36)*100</f>
        <v>0.0017202709880594536</v>
      </c>
      <c r="AD18" s="386">
        <f>IF((($I$33*$I$7*365)/2000)&gt;(($I$64*$A$10*$I$61)*(1-$I$65)),((($I$33*$I$7*365)/2000)-(($I$64*$A$10*$I$61)*(1-$I$65)))*$I$32,0)</f>
        <v>59.999999999990905</v>
      </c>
      <c r="AE18" s="460">
        <f>AD18/$I$7</f>
        <v>0.04999999999999242</v>
      </c>
      <c r="AF18" s="464">
        <f>IF($I$14="no",AD18/(($I$7*$I$10)/100),AD18/$AD$1)</f>
        <v>0.00025396270710020005</v>
      </c>
      <c r="AG18" s="47">
        <f>(AD18/$AD$13)*100</f>
        <v>0.0015075346597366712</v>
      </c>
      <c r="AH18" s="47">
        <f>(AD18/$AD$36)*100</f>
        <v>0.0017157633563695694</v>
      </c>
      <c r="AI18" s="386">
        <f>IF((($I$33*$I$7*365)/2000)&gt;(($I$64*$A$10*$I$61)*(1-$I$65)),((($I$33*$I$7*365)/2000)-(($I$64*$A$10*$I$61)*(1-$I$65)))*$I$32,0)</f>
        <v>59.999999999990905</v>
      </c>
      <c r="AJ18" s="460">
        <f>AI18/$I$7</f>
        <v>0.04999999999999242</v>
      </c>
      <c r="AK18" s="464">
        <f>IF($I$14="no",AI18/(($I$7*$I$10)/100),AI18/$AI$1)</f>
        <v>0.0002514482248516832</v>
      </c>
      <c r="AL18" s="47">
        <f>(AI18/$AI$13)*100</f>
        <v>0.0014937026240633639</v>
      </c>
      <c r="AM18" s="47">
        <f>(AI18/$AI$36)*100</f>
        <v>0.001711224206117562</v>
      </c>
      <c r="AN18" s="386">
        <f>IF((($I$33*$I$7*365)/2000)&gt;(($I$64*$A$10*$I$61)*(1-$I$65)),((($I$33*$I$7*365)/2000)-(($I$64*$A$10*$I$61)*(1-$I$65)))*$I$32,0)</f>
        <v>59.999999999990905</v>
      </c>
      <c r="AO18" s="460">
        <f>AN18/$I$7</f>
        <v>0.04999999999999242</v>
      </c>
      <c r="AP18" s="464">
        <f>IF($I$14="no",AN18/(($I$7*$I$10)/100),AN18/$AN$1)</f>
        <v>0.0002489586384670131</v>
      </c>
      <c r="AQ18" s="47">
        <f>(AN18/$AN$13)*100</f>
        <v>0.0014799875477113779</v>
      </c>
      <c r="AR18" s="47">
        <f>(AN18/$AN$36)*100</f>
        <v>0.0017066536240494716</v>
      </c>
      <c r="AS18" s="29" t="s">
        <v>103</v>
      </c>
      <c r="AT18" s="386">
        <f>IF((($I$33*$I$7*365)/2000)&gt;(($I$64*$A$10*$I$61)*(1-$I$65)),((($I$33*$I$7*365)/2000)-(($I$64*$A$10*$I$61)*(1-$I$65)))*$I$32,0)</f>
        <v>59.999999999990905</v>
      </c>
      <c r="AU18" s="460">
        <f>AT18/$I$7</f>
        <v>0.04999999999999242</v>
      </c>
      <c r="AV18" s="464">
        <f>IF($I$14="no",AT18/(($I$7*$I$10)/100),AT18/$AT$1)</f>
        <v>0.00024649370145248824</v>
      </c>
      <c r="AW18" s="47">
        <f>(AT18/$AT$13)*100</f>
        <v>0.0014663886238493456</v>
      </c>
      <c r="AX18" s="47">
        <f>(AT18/$AT$36)*100</f>
        <v>0.0017020517019990659</v>
      </c>
      <c r="AY18" s="386">
        <f>IF((($I$33*$I$7*365)/2000)&gt;(($I$64*$A$10*$I$61)*(1-$I$65)),((($I$33*$I$7*365)/2000)-(($I$64*$A$10*$I$61)*(1-$I$65)))*$I$32,0)</f>
        <v>59.999999999990905</v>
      </c>
      <c r="AZ18" s="460">
        <f>AY18/$I$7</f>
        <v>0.04999999999999242</v>
      </c>
      <c r="BA18" s="464">
        <f>IF($I$14="no",AY18/(($I$7*$I$10)/100),AY18/$AY$1)</f>
        <v>0.00024405316975493885</v>
      </c>
      <c r="BB18" s="47">
        <f>(AY18/$AY$13)*100</f>
        <v>0.0014529050478512937</v>
      </c>
      <c r="BC18" s="47">
        <f>(AY18/$AY$36)*100</f>
        <v>0.0016974495722406396</v>
      </c>
      <c r="BD18" s="386">
        <f>IF((($I$33*$I$7*365)/2000)&gt;(($I$64*$A$10*$I$61)*(1-$I$65)),((($I$33*$I$7*365)/2000)-(($I$64*$A$10*$I$61)*(1-$I$65)))*$I$32,0)</f>
        <v>59.999999999990905</v>
      </c>
      <c r="BE18" s="460">
        <f>BD18/$I$7</f>
        <v>0.04999999999999242</v>
      </c>
      <c r="BF18" s="464">
        <f>IF($I$14="no",BD18/(($I$7*$I$10)/100),BD18/$BD$1)</f>
        <v>0.0002416368017375632</v>
      </c>
      <c r="BG18" s="47">
        <f>(BD18/$BD$13)*100</f>
        <v>0.0014395360173595953</v>
      </c>
      <c r="BH18" s="47">
        <f>(BD18/$BD$36)*100</f>
        <v>0.0016927904217176977</v>
      </c>
      <c r="BI18" s="386">
        <f>IF((($I$33*$I$7*365)/2000)&gt;(($I$64*$A$10*$I$61)*(1-$I$65)),((($I$33*$I$7*365)/2000)-(($I$64*$A$10*$I$61)*(1-$I$65)))*$I$32,0)</f>
        <v>59.999999999990905</v>
      </c>
      <c r="BJ18" s="460">
        <f>BI18/$I$7</f>
        <v>0.04999999999999242</v>
      </c>
      <c r="BK18" s="464">
        <f>IF($I$14="no",BI18/(($I$7*$I$10)/100),BI18/$BI$1)</f>
        <v>0.00023924435815600315</v>
      </c>
      <c r="BL18" s="47">
        <f>(BI18/$BI$13)*100</f>
        <v>0.0014262807323463412</v>
      </c>
      <c r="BM18" s="47">
        <f>(BI18/$BI$36)*100</f>
        <v>0.001688100230866801</v>
      </c>
      <c r="BN18" s="386">
        <f>IF((($I$33*$I$7*365)/2000)&gt;(($I$64*$A$10*$I$61)*(1-$I$65)),((($I$33*$I$7*365)/2000)-(($I$64*$A$10*$I$61)*(1-$I$65)))*$I$32,0)</f>
        <v>59.999999999990905</v>
      </c>
      <c r="BO18" s="460">
        <f>BN18/$I$7</f>
        <v>0.04999999999999242</v>
      </c>
      <c r="BP18" s="464">
        <f>IF($I$14="no",BN18/(($I$7*$I$10)/100),BN18/$BN$1)</f>
        <v>0.0002368756021346566</v>
      </c>
      <c r="BQ18" s="47">
        <f>(BN18/$BN$13)*100</f>
        <v>0.0014131383951731418</v>
      </c>
      <c r="BR18" s="50">
        <f>(BN18/$BN$36)*100</f>
        <v>0.001683379111481994</v>
      </c>
      <c r="BS18" s="29" t="s">
        <v>103</v>
      </c>
      <c r="BT18" s="386">
        <f>IF((($I$33*$I$7*365)/2000)&gt;(($I$64*$A$10*$I$61)*(1-$I$65)),((($I$33*$I$7*365)/2000)-(($I$64*$A$10*$I$61)*(1-$I$65)))*$I$32,0)</f>
        <v>59.999999999990905</v>
      </c>
      <c r="BU18" s="460">
        <f>BT18/$I$7</f>
        <v>0.04999999999999242</v>
      </c>
      <c r="BV18" s="464">
        <f>IF($I$14="no",BT18/(($I$7*$I$10)/100),BT18/$BT$1)</f>
        <v>0.00023453029914322437</v>
      </c>
      <c r="BW18" s="47">
        <f>(BT18/$BT$13)*100</f>
        <v>0.0014001082106493846</v>
      </c>
      <c r="BX18" s="47">
        <f>(BT18/$BT$36)*100</f>
        <v>0.0016786271805799132</v>
      </c>
      <c r="BY18" s="386">
        <f>IF((($I$33*$I$7*365)/2000)&gt;(($I$64*$A$10*$I$61)*(1-$I$65)),((($I$33*$I$7*365)/2000)-(($I$64*$A$10*$I$61)*(1-$I$65)))*$I$32,0)</f>
        <v>59.999999999990905</v>
      </c>
      <c r="BZ18" s="460">
        <f>BY18/$I$7</f>
        <v>0.04999999999999242</v>
      </c>
      <c r="CA18" s="464">
        <f>IF($I$14="no",BY18/(($I$7*$I$10)/100),BY18/$BY$1)</f>
        <v>0.00023220821697348952</v>
      </c>
      <c r="CB18" s="47">
        <f>(BY18/$BY$13)*100</f>
        <v>0.0013871893860889627</v>
      </c>
      <c r="CC18" s="47">
        <f>(BY18/$BY$36)*100</f>
        <v>0.0016738445604229679</v>
      </c>
      <c r="CD18" s="386">
        <f>IF((($I$33*$I$7*365)/2000)&gt;(($I$64*$A$10*$I$61)*(1-$I$65)),((($I$33*$I$7*365)/2000)-(($I$64*$A$10*$I$61)*(1-$I$65)))*$I$32,0)</f>
        <v>59.999999999990905</v>
      </c>
      <c r="CE18" s="460">
        <f>CD18/$I$7</f>
        <v>0.04999999999999242</v>
      </c>
      <c r="CF18" s="464">
        <f>IF($I$14="no",CD18/(($I$7*$I$10)/100),CD18/$CD$1)</f>
        <v>0.00022990912571632625</v>
      </c>
      <c r="CG18" s="47">
        <f>(CD18/$CD$13)*100</f>
        <v>0.0013743811313654936</v>
      </c>
      <c r="CH18" s="47">
        <f>(CD18/$CD$36)*100</f>
        <v>0.001669031378540872</v>
      </c>
      <c r="CI18" s="386">
        <f>IF((($I$33*$I$7*365)/2000)&gt;(($I$64*$A$10*$I$61)*(1-$I$65)),((($I$33*$I$7*365)/2000)-(($I$64*$A$10*$I$61)*(1-$I$65)))*$I$32,0)</f>
        <v>59.999999999990905</v>
      </c>
      <c r="CJ18" s="460">
        <f>CI18/$I$7</f>
        <v>0.04999999999999242</v>
      </c>
      <c r="CK18" s="464">
        <f>IF($I$14="no",CI18/(($I$7*$I$10)/100),CI18/$CI$1)</f>
        <v>0.00022763279773893686</v>
      </c>
      <c r="CL18" s="47">
        <f>(CI18/$CI$13)*100</f>
        <v>0.001361682658966049</v>
      </c>
      <c r="CM18" s="47">
        <f>(CI18/$CI$36)*100</f>
        <v>0.001664187767750497</v>
      </c>
      <c r="CN18" s="386">
        <f>IF((($I$33*$I$7*365)/2000)&gt;(($I$64*$A$10*$I$61)*(1-$I$65)),((($I$33*$I$7*365)/2000)-(($I$64*$A$10*$I$61)*(1-$I$65)))*$I$32,0)</f>
        <v>59.999999999990905</v>
      </c>
      <c r="CO18" s="460">
        <f>CN18/$I$7</f>
        <v>0.04999999999999242</v>
      </c>
      <c r="CP18" s="464">
        <f>IF($I$14="no",CN18/(($I$7*$I$10)/100),CN18/$CN$1)</f>
        <v>0.00022537900766231368</v>
      </c>
      <c r="CQ18" s="47">
        <f>(CN18/$CN$13)*100</f>
        <v>0.0013490931840434107</v>
      </c>
      <c r="CR18" s="50">
        <f>(CN18/$CN$36)*100</f>
        <v>0.0016593138661740064</v>
      </c>
      <c r="CS18" s="29" t="s">
        <v>103</v>
      </c>
      <c r="CT18" s="386">
        <f>IF((($I$33*$I$7*365)/2000)&gt;(($I$64*$A$10*$I$61)*(1-$I$65)),((($I$33*$I$7*365)/2000)-(($I$64*$A$10*$I$61)*(1-$I$65)))*$I$32,0)</f>
        <v>59.999999999990905</v>
      </c>
      <c r="CU18" s="460">
        <f>CT18/$I$7</f>
        <v>0.04999999999999242</v>
      </c>
      <c r="CV18" s="464">
        <f>IF($I$14="no",CT18/(($I$7*$I$10)/100),CT18/$CT$1)</f>
        <v>0.00022314753233892444</v>
      </c>
      <c r="CW18" s="47">
        <f>(CT18/$CT$13)*100</f>
        <v>0.0013366119244668784</v>
      </c>
      <c r="CX18" s="47">
        <f>(CT18/$CT$36)*100</f>
        <v>0.0016544098172552538</v>
      </c>
      <c r="CY18" s="386">
        <f>IF((($I$33*$I$7*365)/2000)&gt;(($I$64*$A$10*$I$61)*(1-$I$65)),((($I$33*$I$7*365)/2000)-(($I$64*$A$10*$I$61)*(1-$I$65)))*$I$32,0)</f>
        <v>59.999999999990905</v>
      </c>
      <c r="CZ18" s="460">
        <f>CY18/$I$7</f>
        <v>0.04999999999999242</v>
      </c>
      <c r="DA18" s="464">
        <f>IF($I$14="no",CY18/(($I$7*$I$10)/100),CY18/$CY$1)</f>
        <v>0.00022093815083061826</v>
      </c>
      <c r="DB18" s="47">
        <f>(CY18/$CY$13)*100</f>
        <v>0.0013242381008716374</v>
      </c>
      <c r="DC18" s="47">
        <f>(CY18/$CY$36)*100</f>
        <v>0.0016494757697743966</v>
      </c>
      <c r="DD18" s="386">
        <f>IF((($I$33*$I$7*365)/2000)&gt;(($I$64*$A$10*$I$61)*(1-$I$65)),((($I$33*$I$7*365)/2000)-(($I$64*$A$10*$I$61)*(1-$I$65)))*$I$32,0)</f>
        <v>59.999999999990905</v>
      </c>
      <c r="DE18" s="460">
        <f>DD18/$I$7</f>
        <v>0.04999999999999242</v>
      </c>
      <c r="DF18" s="464">
        <f>IF($I$14="no",DD18/(($I$7*$I$10)/100),DD18/$DD$1)</f>
        <v>0.00021875064438675075</v>
      </c>
      <c r="DG18" s="47">
        <f>(DD18/$DD$13)*100</f>
        <v>0.0013119709367067204</v>
      </c>
      <c r="DH18" s="47">
        <f>(DD18/$DD$36)*100</f>
        <v>0.0016445118778607042</v>
      </c>
      <c r="DI18" s="386">
        <f>IF((($I$33*$I$7*365)/2000)&gt;(($I$64*$A$10*$I$61)*(1-$I$65)),((($I$33*$I$7*365)/2000)-(($I$64*$A$10*$I$61)*(1-$I$65)))*$I$32,0)</f>
        <v>59.999999999990905</v>
      </c>
      <c r="DJ18" s="460">
        <f>DI18/$I$7</f>
        <v>0.04999999999999242</v>
      </c>
      <c r="DK18" s="464">
        <f>IF($I$14="no",DI18/(($I$7*$I$10)/100),DI18/$DI$1)</f>
        <v>0.00021658479642252547</v>
      </c>
      <c r="DL18" s="47">
        <f>(DI18/$DI$13)*100</f>
        <v>0.0012998096582815665</v>
      </c>
      <c r="DM18" s="47">
        <f>(DI18/$DI$36)*100</f>
        <v>0.001639518301003533</v>
      </c>
      <c r="DN18" s="457">
        <f>IF((($I$33*$I$7*365)/2000)&gt;(($I$64*$A$10*$I$61)*(1-$I$65)),((($I$33*$I$7*365)/2000)-(($I$64*$A$10*$I$61)*(1-$I$65)))*$I$32,0)</f>
        <v>59.999999999990905</v>
      </c>
      <c r="DO18" s="460">
        <f>DN18/$I$7</f>
        <v>0.04999999999999242</v>
      </c>
      <c r="DP18" s="464">
        <f>IF($I$14="no",DN18/(($I$7*$I$10)/100),DN18/$DN$1)</f>
        <v>0.00021444039249755</v>
      </c>
      <c r="DQ18" s="47">
        <f>(DN18/$DN$13)*100</f>
        <v>0.0012877534948112063</v>
      </c>
      <c r="DR18" s="50">
        <f>(DN18/$DN$36)*100</f>
        <v>0.0016344952040614313</v>
      </c>
      <c r="DT18" s="62">
        <v>9</v>
      </c>
      <c r="DU18" s="107">
        <f t="shared" si="0"/>
        <v>40018.369128398976</v>
      </c>
      <c r="DV18" s="107">
        <f t="shared" si="1"/>
        <v>66497.97302421193</v>
      </c>
      <c r="DW18" s="107">
        <f t="shared" si="2"/>
        <v>106516.3421526109</v>
      </c>
      <c r="DX18" s="107">
        <f t="shared" si="3"/>
        <v>0</v>
      </c>
      <c r="DY18" s="107">
        <f t="shared" si="4"/>
        <v>0</v>
      </c>
      <c r="DZ18" s="107">
        <f t="shared" si="5"/>
        <v>0</v>
      </c>
      <c r="EA18" s="107">
        <f t="shared" si="6"/>
        <v>87782.11891824228</v>
      </c>
      <c r="EB18" s="107">
        <f t="shared" si="7"/>
        <v>145866.33845833017</v>
      </c>
      <c r="EC18" s="107">
        <f t="shared" si="8"/>
        <v>233648.45737657245</v>
      </c>
      <c r="ED18" s="107">
        <f t="shared" si="9"/>
        <v>0</v>
      </c>
      <c r="EE18" s="107">
        <f t="shared" si="10"/>
        <v>0</v>
      </c>
      <c r="EF18" s="79">
        <f t="shared" si="11"/>
        <v>0</v>
      </c>
      <c r="EH18" s="62">
        <v>9</v>
      </c>
      <c r="EI18" s="107">
        <v>0</v>
      </c>
      <c r="EJ18" s="107">
        <v>0</v>
      </c>
      <c r="EK18" s="107">
        <v>0</v>
      </c>
      <c r="EL18" s="107">
        <v>0</v>
      </c>
      <c r="EM18" s="107">
        <v>0</v>
      </c>
      <c r="EN18" s="107">
        <v>0</v>
      </c>
      <c r="EO18" s="107">
        <v>0</v>
      </c>
      <c r="EP18" s="107">
        <v>0</v>
      </c>
      <c r="EQ18" s="107">
        <v>0</v>
      </c>
      <c r="ER18" s="107">
        <v>0</v>
      </c>
      <c r="ES18" s="107">
        <v>0</v>
      </c>
      <c r="ET18" s="107">
        <v>0</v>
      </c>
      <c r="EU18" s="107">
        <v>0</v>
      </c>
      <c r="EV18" s="107">
        <v>0</v>
      </c>
      <c r="EW18" s="107">
        <v>0</v>
      </c>
      <c r="EX18" s="79">
        <v>0</v>
      </c>
      <c r="FH18" s="62">
        <v>9</v>
      </c>
      <c r="FI18" s="107" t="b">
        <f t="shared" si="12"/>
        <v>0</v>
      </c>
      <c r="FJ18" s="107">
        <f t="shared" si="13"/>
        <v>108578.4</v>
      </c>
      <c r="FK18" s="107" t="b">
        <f t="shared" si="14"/>
        <v>0</v>
      </c>
      <c r="FL18" s="107">
        <f t="shared" si="15"/>
        <v>0</v>
      </c>
      <c r="FM18" s="107">
        <f t="shared" si="16"/>
        <v>108578.4</v>
      </c>
      <c r="FN18" s="107" t="b">
        <f t="shared" si="17"/>
        <v>0</v>
      </c>
      <c r="FO18" s="107">
        <f t="shared" si="18"/>
        <v>2892.7272727272725</v>
      </c>
      <c r="FP18" s="107">
        <f t="shared" si="19"/>
        <v>2892.7272727272725</v>
      </c>
      <c r="FQ18" s="107">
        <v>0</v>
      </c>
      <c r="FR18" s="107">
        <v>0</v>
      </c>
      <c r="FS18" s="107">
        <f t="shared" si="20"/>
        <v>0</v>
      </c>
      <c r="FT18" s="107" t="b">
        <f t="shared" si="21"/>
        <v>0</v>
      </c>
      <c r="FU18" s="107">
        <f t="shared" si="22"/>
        <v>6280</v>
      </c>
      <c r="FV18" s="107">
        <f t="shared" si="23"/>
        <v>6280</v>
      </c>
      <c r="FW18" s="107">
        <v>0</v>
      </c>
      <c r="FX18" s="107">
        <v>0</v>
      </c>
      <c r="FY18" s="107">
        <v>0</v>
      </c>
      <c r="FZ18" s="107">
        <v>0</v>
      </c>
      <c r="GA18" s="107">
        <v>0</v>
      </c>
      <c r="GB18" s="107">
        <v>0</v>
      </c>
      <c r="GC18" s="107" t="b">
        <f>IF($H$124="yes",IF($I$124=5,SLN($EW$14,0,$I$124),0))</f>
        <v>0</v>
      </c>
      <c r="GD18" s="107">
        <f>IF($H$124="no",IF($I$124=5,SYD($EW$14,0,$I$124,$FH13),0))</f>
        <v>0</v>
      </c>
      <c r="GE18" s="107">
        <v>0</v>
      </c>
      <c r="GF18" s="107">
        <v>0</v>
      </c>
      <c r="GG18" s="107">
        <v>0</v>
      </c>
      <c r="GH18" s="107">
        <v>0</v>
      </c>
      <c r="GI18" s="107">
        <v>0</v>
      </c>
      <c r="GJ18" s="107">
        <v>0</v>
      </c>
      <c r="GK18" s="107">
        <v>0</v>
      </c>
      <c r="GL18" s="107">
        <v>0</v>
      </c>
      <c r="GM18" s="10">
        <f t="shared" si="24"/>
        <v>0</v>
      </c>
      <c r="GN18" s="107">
        <f>IF($H$126="yes",SLN(($EK$14),0,5),0)</f>
        <v>0</v>
      </c>
      <c r="GO18" s="107">
        <f>IF($H$126="no",SYD(($EK$14),0,5,$FH13),0)</f>
        <v>6500</v>
      </c>
      <c r="GP18" s="107">
        <f t="shared" si="26"/>
        <v>6500</v>
      </c>
      <c r="GQ18" s="27">
        <f t="shared" si="25"/>
        <v>124251.12727272726</v>
      </c>
    </row>
    <row r="19" spans="1:199" ht="16.5" thickTop="1">
      <c r="A19" s="13"/>
      <c r="B19" s="418"/>
      <c r="C19" s="425"/>
      <c r="D19" s="376" t="s">
        <v>104</v>
      </c>
      <c r="E19" s="368">
        <f>ROUND(SUM(E18:E18),0)</f>
        <v>2400000</v>
      </c>
      <c r="G19" s="394" t="s">
        <v>125</v>
      </c>
      <c r="H19" s="440"/>
      <c r="I19" s="500">
        <v>0.4</v>
      </c>
      <c r="J19" s="203"/>
      <c r="K19" s="30" t="s">
        <v>126</v>
      </c>
      <c r="L19" s="159">
        <f>$BD$61</f>
        <v>152222.20875597</v>
      </c>
      <c r="M19" s="107">
        <f>$BD$63</f>
        <v>907.061309065391</v>
      </c>
      <c r="N19" s="107">
        <f>$BD$64</f>
        <v>19879.05947111417</v>
      </c>
      <c r="O19" s="244">
        <f>$BD$65</f>
        <v>14.986958538712901</v>
      </c>
      <c r="P19" s="96">
        <f>IF($I$14="yes",BD$2,$I$10)</f>
        <v>20692.212295665293</v>
      </c>
      <c r="Q19" s="392">
        <f>$BD$4</f>
        <v>15.6</v>
      </c>
      <c r="R19" s="151"/>
      <c r="S19" s="29" t="s">
        <v>127</v>
      </c>
      <c r="T19" s="386">
        <f>$I$7*($I$17+$I$20)*$I$36</f>
        <v>816000.0000000001</v>
      </c>
      <c r="U19" s="460">
        <f>T19/$I$7</f>
        <v>680.0000000000001</v>
      </c>
      <c r="V19" s="464">
        <f>IF($I$14="no",T19/(($I$7*$I$10)/100),T19/$T$1)</f>
        <v>3.5233160621761663</v>
      </c>
      <c r="W19" s="47">
        <f>(T19/$T$13)*100</f>
        <v>20.883518719348928</v>
      </c>
      <c r="X19" s="47">
        <f>(T19/$T$36)*100</f>
        <v>23.456559465159405</v>
      </c>
      <c r="Y19" s="386">
        <f>$I$7*($I$17+$I$20)*$I$36</f>
        <v>816000.0000000001</v>
      </c>
      <c r="Z19" s="460">
        <f>Y19/$I$7</f>
        <v>680.0000000000001</v>
      </c>
      <c r="AA19" s="464">
        <f>IF($I$14="no",Y19/(($I$7*$I$10)/100),Y19/$Y$1)</f>
        <v>3.4884317447288775</v>
      </c>
      <c r="AB19" s="47">
        <f>(Y19/$Y$13)*100</f>
        <v>20.69218870637077</v>
      </c>
      <c r="AC19" s="47">
        <f>(Y19/$Y$36)*100</f>
        <v>23.39568543761212</v>
      </c>
      <c r="AD19" s="386">
        <f>$I$7*($I$17+$I$20)*$I$36</f>
        <v>816000.0000000001</v>
      </c>
      <c r="AE19" s="460">
        <f>AD19/$I$7</f>
        <v>680.0000000000001</v>
      </c>
      <c r="AF19" s="464">
        <f>IF($I$14="no",AD19/(($I$7*$I$10)/100),AD19/$AD$1)</f>
        <v>3.453892816563245</v>
      </c>
      <c r="AG19" s="47">
        <f>(AD19/$AD$13)*100</f>
        <v>20.50247137242184</v>
      </c>
      <c r="AH19" s="47">
        <f>(AD19/$AD$36)*100</f>
        <v>23.334381646629684</v>
      </c>
      <c r="AI19" s="386">
        <f>$I$7*($I$17+$I$20)*$I$36</f>
        <v>816000.0000000001</v>
      </c>
      <c r="AJ19" s="460">
        <f>AI19/$I$7</f>
        <v>680.0000000000001</v>
      </c>
      <c r="AK19" s="464">
        <f>IF($I$14="no",AI19/(($I$7*$I$10)/100),AI19/$AI$1)</f>
        <v>3.419695857983411</v>
      </c>
      <c r="AL19" s="47">
        <f>(AI19/$AI$13)*100</f>
        <v>20.314355687264833</v>
      </c>
      <c r="AM19" s="47">
        <f>(AI19/$AI$36)*100</f>
        <v>23.272649203202374</v>
      </c>
      <c r="AN19" s="386">
        <f>$I$7*($I$17+$I$20)*$I$36</f>
        <v>816000.0000000001</v>
      </c>
      <c r="AO19" s="460">
        <f>AN19/$I$7</f>
        <v>680.0000000000001</v>
      </c>
      <c r="AP19" s="464">
        <f>IF($I$14="no",AN19/(($I$7*$I$10)/100),AN19/$AN$1)</f>
        <v>3.385837483151892</v>
      </c>
      <c r="AQ19" s="47">
        <f>(AN19/$AN$13)*100</f>
        <v>20.127830648877794</v>
      </c>
      <c r="AR19" s="47">
        <f>(AN19/$AN$36)*100</f>
        <v>23.21048928707633</v>
      </c>
      <c r="AS19" s="29" t="s">
        <v>127</v>
      </c>
      <c r="AT19" s="386">
        <f>$I$7*($I$17+$I$20)*$I$36</f>
        <v>816000.0000000001</v>
      </c>
      <c r="AU19" s="460">
        <f>AT19/$I$7</f>
        <v>680.0000000000001</v>
      </c>
      <c r="AV19" s="464">
        <f>IF($I$14="no",AT19/(($I$7*$I$10)/100),AT19/$AT$1)</f>
        <v>3.3523143397543484</v>
      </c>
      <c r="AW19" s="47">
        <f>(AT19/$AT$13)*100</f>
        <v>19.942885284354126</v>
      </c>
      <c r="AX19" s="47">
        <f>(AT19/$AT$36)*100</f>
        <v>23.14790314719081</v>
      </c>
      <c r="AY19" s="386">
        <f>$I$7*($I$17+$I$20)*$I$36</f>
        <v>816000.0000000001</v>
      </c>
      <c r="AZ19" s="460">
        <f>AY19/$I$7</f>
        <v>680.0000000000001</v>
      </c>
      <c r="BA19" s="464">
        <f>IF($I$14="no",AY19/(($I$7*$I$10)/100),AY19/$AY$1)</f>
        <v>3.319123108667672</v>
      </c>
      <c r="BB19" s="47">
        <f>(AY19/$AY$13)*100</f>
        <v>19.759508650780592</v>
      </c>
      <c r="BC19" s="47">
        <f>(AY19/$AY$36)*100</f>
        <v>23.085314182476203</v>
      </c>
      <c r="BD19" s="386">
        <f>$I$7*($I$17+$I$20)*$I$36</f>
        <v>816000.0000000001</v>
      </c>
      <c r="BE19" s="460">
        <f>BD19/$I$7</f>
        <v>680.0000000000001</v>
      </c>
      <c r="BF19" s="464">
        <f>IF($I$14="no",BD19/(($I$7*$I$10)/100),BD19/$BD$1)</f>
        <v>3.286260503631358</v>
      </c>
      <c r="BG19" s="47">
        <f>(BD19/$BD$13)*100</f>
        <v>19.577689836093466</v>
      </c>
      <c r="BH19" s="47">
        <f>(BD19/$BD$36)*100</f>
        <v>23.021949735364178</v>
      </c>
      <c r="BI19" s="386">
        <f>$I$7*($I$17+$I$20)*$I$36</f>
        <v>816000.0000000001</v>
      </c>
      <c r="BJ19" s="460">
        <f>BI19/$I$7</f>
        <v>680.0000000000001</v>
      </c>
      <c r="BK19" s="464">
        <f>IF($I$14="no",BI19/(($I$7*$I$10)/100),BI19/$BI$1)</f>
        <v>3.2537232709221366</v>
      </c>
      <c r="BL19" s="47">
        <f>(BI19/$BI$13)*100</f>
        <v>19.39741795991318</v>
      </c>
      <c r="BM19" s="47">
        <f>(BI19/$BI$36)*100</f>
        <v>22.958163139791978</v>
      </c>
      <c r="BN19" s="386">
        <f>$I$7*($I$17+$I$20)*$I$36</f>
        <v>816000.0000000001</v>
      </c>
      <c r="BO19" s="460">
        <f>BN19/$I$7</f>
        <v>680.0000000000001</v>
      </c>
      <c r="BP19" s="464">
        <f>IF($I$14="no",BN19/(($I$7*$I$10)/100),BN19/$BN$1)</f>
        <v>3.2215081890318187</v>
      </c>
      <c r="BQ19" s="47">
        <f>(BN19/$BN$13)*100</f>
        <v>19.218682174357646</v>
      </c>
      <c r="BR19" s="47">
        <f>(BN19/$BN$36)*100</f>
        <v>22.893955916158593</v>
      </c>
      <c r="BS19" s="29" t="s">
        <v>127</v>
      </c>
      <c r="BT19" s="386">
        <f>$I$7*($I$17+$I$20)*$I$36</f>
        <v>816000.0000000001</v>
      </c>
      <c r="BU19" s="460">
        <f>BT19/$I$7</f>
        <v>680.0000000000001</v>
      </c>
      <c r="BV19" s="464">
        <f>IF($I$14="no",BT19/(($I$7*$I$10)/100),BT19/$BT$1)</f>
        <v>3.1896120683483353</v>
      </c>
      <c r="BW19" s="47">
        <f>(BT19/$BT$13)*100</f>
        <v>19.04147166483452</v>
      </c>
      <c r="BX19" s="47">
        <f>(BT19/$BT$36)*100</f>
        <v>22.82932965589028</v>
      </c>
      <c r="BY19" s="386">
        <f>$I$7*($I$17+$I$20)*$I$36</f>
        <v>816000.0000000001</v>
      </c>
      <c r="BZ19" s="460">
        <f>BY19/$I$7</f>
        <v>680.0000000000001</v>
      </c>
      <c r="CA19" s="464">
        <f>IF($I$14="no",BY19/(($I$7*$I$10)/100),BY19/$BY$1)</f>
        <v>3.1580317508399367</v>
      </c>
      <c r="CB19" s="47">
        <f>(BY19/$BY$13)*100</f>
        <v>18.865775650812758</v>
      </c>
      <c r="CC19" s="47">
        <f>(BY19/$BY$36)*100</f>
        <v>22.764286021755815</v>
      </c>
      <c r="CD19" s="386">
        <f>$I$7*($I$17+$I$20)*$I$36</f>
        <v>816000.0000000001</v>
      </c>
      <c r="CE19" s="460">
        <f>CD19/$I$7</f>
        <v>680.0000000000001</v>
      </c>
      <c r="CF19" s="464">
        <f>IF($I$14="no",CD19/(($I$7*$I$10)/100),CD19/$CD$1)</f>
        <v>3.126764109742511</v>
      </c>
      <c r="CG19" s="47">
        <f>(CD19/$CD$13)*100</f>
        <v>18.69158338657355</v>
      </c>
      <c r="CH19" s="47">
        <f>(CD19/$CD$36)*100</f>
        <v>22.698826748159302</v>
      </c>
      <c r="CI19" s="386">
        <f>$I$7*($I$17+$I$20)*$I$36</f>
        <v>816000.0000000001</v>
      </c>
      <c r="CJ19" s="460">
        <f>CI19/$I$7</f>
        <v>680.0000000000001</v>
      </c>
      <c r="CK19" s="464">
        <f>IF($I$14="no",CI19/(($I$7*$I$10)/100),CI19/$CI$1)</f>
        <v>3.095806049250011</v>
      </c>
      <c r="CL19" s="47">
        <f>(CI19/$CI$13)*100</f>
        <v>18.518884161941077</v>
      </c>
      <c r="CM19" s="47">
        <f>(CI19/$CI$36)*100</f>
        <v>22.63295364141019</v>
      </c>
      <c r="CN19" s="386">
        <f>$I$7*($I$17+$I$20)*$I$36</f>
        <v>816000.0000000001</v>
      </c>
      <c r="CO19" s="460">
        <f>CN19/$I$7</f>
        <v>680.0000000000001</v>
      </c>
      <c r="CP19" s="464">
        <f>IF($I$14="no",CN19/(($I$7*$I$10)/100),CN19/$CN$1)</f>
        <v>3.065154504207931</v>
      </c>
      <c r="CQ19" s="47">
        <f>(CN19/$CN$13)*100</f>
        <v>18.34766730299317</v>
      </c>
      <c r="CR19" s="47">
        <f>(CN19/$CN$36)*100</f>
        <v>22.56666857996991</v>
      </c>
      <c r="CS19" s="29" t="s">
        <v>127</v>
      </c>
      <c r="CT19" s="386">
        <f>$I$7*($I$17+$I$20)*$I$36</f>
        <v>816000.0000000001</v>
      </c>
      <c r="CU19" s="460">
        <f>CT19/$I$7</f>
        <v>680.0000000000001</v>
      </c>
      <c r="CV19" s="464">
        <f>IF($I$14="no",CT19/(($I$7*$I$10)/100),CT19/$CT$1)</f>
        <v>3.034806439809833</v>
      </c>
      <c r="CW19" s="47">
        <f>(CT19/$CT$13)*100</f>
        <v>18.177922172752304</v>
      </c>
      <c r="CX19" s="47">
        <f>(CT19/$CT$36)*100</f>
        <v>22.499973514674867</v>
      </c>
      <c r="CY19" s="386">
        <f>$I$7*($I$17+$I$20)*$I$36</f>
        <v>816000.0000000001</v>
      </c>
      <c r="CZ19" s="460">
        <f>CY19/$I$7</f>
        <v>680.0000000000001</v>
      </c>
      <c r="DA19" s="464">
        <f>IF($I$14="no",CY19/(($I$7*$I$10)/100),CY19/$CY$1)</f>
        <v>3.0047588512968644</v>
      </c>
      <c r="DB19" s="47">
        <f>(CY19/$CY$13)*100</f>
        <v>18.009638171857002</v>
      </c>
      <c r="DC19" s="47">
        <f>(CY19/$CY$36)*100</f>
        <v>22.4328704689352</v>
      </c>
      <c r="DD19" s="386">
        <f>$I$7*($I$17+$I$20)*$I$36</f>
        <v>816000.0000000001</v>
      </c>
      <c r="DE19" s="460">
        <f>DD19/$I$7</f>
        <v>680.0000000000001</v>
      </c>
      <c r="DF19" s="464">
        <f>IF($I$14="no",DD19/(($I$7*$I$10)/100),DD19/$DD$1)</f>
        <v>2.9750087636602616</v>
      </c>
      <c r="DG19" s="47">
        <f>(DD19/$DD$13)*100</f>
        <v>17.842804739214106</v>
      </c>
      <c r="DH19" s="47">
        <f>(DD19/$DD$36)*100</f>
        <v>22.36536153890897</v>
      </c>
      <c r="DI19" s="386">
        <f>$I$7*($I$17+$I$20)*$I$36</f>
        <v>816000.0000000001</v>
      </c>
      <c r="DJ19" s="460">
        <f>DI19/$I$7</f>
        <v>680.0000000000001</v>
      </c>
      <c r="DK19" s="464">
        <f>IF($I$14="no",DI19/(($I$7*$I$10)/100),DI19/$DI$1)</f>
        <v>2.9455532313467936</v>
      </c>
      <c r="DL19" s="47">
        <f>(DI19/$DI$13)*100</f>
        <v>17.67741135263199</v>
      </c>
      <c r="DM19" s="47">
        <f>(DI19/$DI$36)*100</f>
        <v>22.29744889365143</v>
      </c>
      <c r="DN19" s="457">
        <f>$I$7*($I$17+$I$20)*$I$36</f>
        <v>816000.0000000001</v>
      </c>
      <c r="DO19" s="460">
        <f>DN19/$I$7</f>
        <v>680.0000000000001</v>
      </c>
      <c r="DP19" s="464">
        <f>IF($I$14="no",DN19/(($I$7*$I$10)/100),DN19/$DN$1)</f>
        <v>2.9163893379671224</v>
      </c>
      <c r="DQ19" s="47">
        <f>(DN19/$DN$13)*100</f>
        <v>17.513447529435062</v>
      </c>
      <c r="DR19" s="50">
        <f>(DN19/$DN$36)*100</f>
        <v>22.229134775238837</v>
      </c>
      <c r="DT19" s="62">
        <v>10</v>
      </c>
      <c r="DU19" s="107">
        <f t="shared" si="0"/>
        <v>43419.930504312855</v>
      </c>
      <c r="DV19" s="107">
        <f t="shared" si="1"/>
        <v>63096.411648298046</v>
      </c>
      <c r="DW19" s="107">
        <f t="shared" si="2"/>
        <v>106516.3421526109</v>
      </c>
      <c r="DX19" s="107">
        <f t="shared" si="3"/>
        <v>0</v>
      </c>
      <c r="DY19" s="107">
        <f t="shared" si="4"/>
        <v>0</v>
      </c>
      <c r="DZ19" s="107">
        <f t="shared" si="5"/>
        <v>0</v>
      </c>
      <c r="EA19" s="107">
        <f t="shared" si="6"/>
        <v>95243.5990262928</v>
      </c>
      <c r="EB19" s="107">
        <f t="shared" si="7"/>
        <v>138404.85835027965</v>
      </c>
      <c r="EC19" s="107">
        <f t="shared" si="8"/>
        <v>233648.45737657245</v>
      </c>
      <c r="ED19" s="107">
        <f t="shared" si="9"/>
        <v>0</v>
      </c>
      <c r="EE19" s="107">
        <f t="shared" si="10"/>
        <v>0</v>
      </c>
      <c r="EF19" s="79">
        <f t="shared" si="11"/>
        <v>0</v>
      </c>
      <c r="EH19" s="62">
        <v>10</v>
      </c>
      <c r="EI19" s="107">
        <f>$I$108*$E$38</f>
        <v>39775</v>
      </c>
      <c r="EJ19" s="107">
        <f>EI19/((1+$I$128)^$EH19)</f>
        <v>16801.389844276026</v>
      </c>
      <c r="EK19" s="107">
        <f>$E$47*$I$109</f>
        <v>48750</v>
      </c>
      <c r="EL19" s="107">
        <f>EK19/((1+$I$128)^$EH19)</f>
        <v>20592.526836164834</v>
      </c>
      <c r="EM19" s="107">
        <f>$E$61*$I$110</f>
        <v>86350</v>
      </c>
      <c r="EN19" s="107">
        <f>EM19/((1+$I$128)^$EH19)</f>
        <v>36475.17317544274</v>
      </c>
      <c r="EO19" s="107">
        <f>$E$70*$I$111</f>
        <v>12150</v>
      </c>
      <c r="EP19" s="107">
        <f>EO19/((1+$I$128)^$EH19)</f>
        <v>5132.29130378262</v>
      </c>
      <c r="EQ19" s="107">
        <f>$E$88*$I$112</f>
        <v>112500</v>
      </c>
      <c r="ER19" s="107">
        <f>EQ19/((1+$I$128)^$EH19)</f>
        <v>47521.215775765006</v>
      </c>
      <c r="ES19" s="107">
        <f>$E$99*$I$113</f>
        <v>20250</v>
      </c>
      <c r="ET19" s="107">
        <f>ES19/((1+$I$128)^$EH19)</f>
        <v>8553.8188396377</v>
      </c>
      <c r="EU19" s="107">
        <f>ROUND($E$119*$I$114,0)</f>
        <v>21525</v>
      </c>
      <c r="EV19" s="107">
        <f>EU19/((1+$I$128)^$EH19)</f>
        <v>9092.392618429703</v>
      </c>
      <c r="EW19" s="107">
        <f>$E$152*$I$115</f>
        <v>175275</v>
      </c>
      <c r="EX19" s="79">
        <f>EW19/((1+$I$128)^$EH19)</f>
        <v>74038.05417864188</v>
      </c>
      <c r="FH19" s="62">
        <v>10</v>
      </c>
      <c r="FI19" s="107" t="b">
        <f t="shared" si="12"/>
        <v>0</v>
      </c>
      <c r="FJ19" s="107">
        <f t="shared" si="13"/>
        <v>93067.2</v>
      </c>
      <c r="FK19" s="107" t="b">
        <f t="shared" si="14"/>
        <v>0</v>
      </c>
      <c r="FL19" s="107">
        <f t="shared" si="15"/>
        <v>0</v>
      </c>
      <c r="FM19" s="107">
        <f t="shared" si="16"/>
        <v>93067.2</v>
      </c>
      <c r="FN19" s="107" t="b">
        <f t="shared" si="17"/>
        <v>0</v>
      </c>
      <c r="FO19" s="107">
        <f t="shared" si="18"/>
        <v>1446.3636363636363</v>
      </c>
      <c r="FP19" s="107">
        <f t="shared" si="19"/>
        <v>1446.3636363636363</v>
      </c>
      <c r="FQ19" s="107">
        <v>0</v>
      </c>
      <c r="FR19" s="107">
        <v>0</v>
      </c>
      <c r="FS19" s="107">
        <f t="shared" si="20"/>
        <v>0</v>
      </c>
      <c r="FT19" s="107" t="b">
        <f t="shared" si="21"/>
        <v>0</v>
      </c>
      <c r="FU19" s="107">
        <f t="shared" si="22"/>
        <v>3140</v>
      </c>
      <c r="FV19" s="107">
        <f t="shared" si="23"/>
        <v>3140</v>
      </c>
      <c r="FW19" s="107">
        <v>0</v>
      </c>
      <c r="FX19" s="107">
        <v>0</v>
      </c>
      <c r="FY19" s="107">
        <v>0</v>
      </c>
      <c r="FZ19" s="107">
        <v>0</v>
      </c>
      <c r="GA19" s="107">
        <v>0</v>
      </c>
      <c r="GB19" s="107">
        <v>0</v>
      </c>
      <c r="GC19" s="107" t="b">
        <f>IF($H$124="yes",IF($I$124=5,SLN($EW$14,0,$I$124),0))</f>
        <v>0</v>
      </c>
      <c r="GD19" s="107">
        <f>IF($H$124="no",IF($I$124=5,SYD($EW$14,0,$I$124,$FH14),0))</f>
        <v>0</v>
      </c>
      <c r="GE19" s="107">
        <v>0</v>
      </c>
      <c r="GF19" s="107">
        <v>0</v>
      </c>
      <c r="GG19" s="107">
        <v>0</v>
      </c>
      <c r="GH19" s="107">
        <v>0</v>
      </c>
      <c r="GI19" s="107">
        <v>0</v>
      </c>
      <c r="GJ19" s="107">
        <v>0</v>
      </c>
      <c r="GK19" s="107">
        <v>0</v>
      </c>
      <c r="GL19" s="107">
        <v>0</v>
      </c>
      <c r="GM19" s="10">
        <f t="shared" si="24"/>
        <v>0</v>
      </c>
      <c r="GN19" s="107">
        <f>IF($H$126="yes",SLN(($EK$14),0,5),0)</f>
        <v>0</v>
      </c>
      <c r="GO19" s="107">
        <f>IF($H$126="no",SYD(($EK$14),0,5,$FH14),0)</f>
        <v>3250</v>
      </c>
      <c r="GP19" s="107">
        <f t="shared" si="26"/>
        <v>3250</v>
      </c>
      <c r="GQ19" s="27">
        <f t="shared" si="25"/>
        <v>100903.56363636363</v>
      </c>
    </row>
    <row r="20" spans="1:199" ht="15.75">
      <c r="A20" s="143" t="s">
        <v>128</v>
      </c>
      <c r="B20" s="418"/>
      <c r="C20" s="425"/>
      <c r="D20" s="376"/>
      <c r="E20" s="368"/>
      <c r="G20" s="394" t="s">
        <v>129</v>
      </c>
      <c r="H20" s="440"/>
      <c r="I20" s="502">
        <v>0.01</v>
      </c>
      <c r="J20" s="203"/>
      <c r="K20" s="30" t="s">
        <v>130</v>
      </c>
      <c r="L20" s="159">
        <f>$BI$61</f>
        <v>181110.204699873</v>
      </c>
      <c r="M20" s="107">
        <f>$BI$63</f>
        <v>866.9003510233521</v>
      </c>
      <c r="N20" s="107">
        <f>$BI$64</f>
        <v>19931.66537642177</v>
      </c>
      <c r="O20" s="244">
        <f>$BI$65</f>
        <v>14.877840088684499</v>
      </c>
      <c r="P20" s="96">
        <f>IF($I$14="yes",BI$2,$I$10)</f>
        <v>20899.134418621947</v>
      </c>
      <c r="Q20" s="392">
        <f>$BI$4</f>
        <v>15.6</v>
      </c>
      <c r="R20" s="151"/>
      <c r="S20" s="29" t="s">
        <v>131</v>
      </c>
      <c r="T20" s="386">
        <f>$I$38*$I$39*$I$40*52</f>
        <v>530244</v>
      </c>
      <c r="U20" s="460">
        <f>T20/$I$7</f>
        <v>441.87</v>
      </c>
      <c r="V20" s="464">
        <f>IF($I$14="no",T20/(($I$7*$I$10)/100),T20/$T$1)</f>
        <v>2.289481865284974</v>
      </c>
      <c r="W20" s="47">
        <f>(T20/$T$13)*100</f>
        <v>13.570294730174574</v>
      </c>
      <c r="X20" s="47">
        <f>(T20/$T$36)*100</f>
        <v>15.24227931010292</v>
      </c>
      <c r="Y20" s="386">
        <f>$I$38*$I$39*$I$40*52</f>
        <v>530244</v>
      </c>
      <c r="Z20" s="460">
        <f>Y20/$I$7</f>
        <v>441.87</v>
      </c>
      <c r="AA20" s="464">
        <f>IF($I$14="no",Y20/(($I$7*$I$10)/100),Y20/$Y$1)</f>
        <v>2.2668137280049248</v>
      </c>
      <c r="AB20" s="47">
        <f>(Y20/$Y$13)*100</f>
        <v>13.44596679953537</v>
      </c>
      <c r="AC20" s="47">
        <f>(Y20/$Y$36)*100</f>
        <v>15.20272282987892</v>
      </c>
      <c r="AD20" s="386">
        <f>$I$38*$I$39*$I$40*52</f>
        <v>530244</v>
      </c>
      <c r="AE20" s="460">
        <f>AD20/$I$7</f>
        <v>441.87</v>
      </c>
      <c r="AF20" s="464">
        <f>IF($I$14="no",AD20/(($I$7*$I$10)/100),AD20/$AD$1)</f>
        <v>2.244370027727648</v>
      </c>
      <c r="AG20" s="47">
        <f>(AD20/$AD$13)*100</f>
        <v>13.322686801958877</v>
      </c>
      <c r="AH20" s="47">
        <f>(AD20/$AD$36)*100</f>
        <v>15.16288708558273</v>
      </c>
      <c r="AI20" s="386">
        <f>$I$38*$I$39*$I$40*52</f>
        <v>530244</v>
      </c>
      <c r="AJ20" s="460">
        <f>AI20/$I$7</f>
        <v>441.87</v>
      </c>
      <c r="AK20" s="464">
        <f>IF($I$14="no",AI20/(($I$7*$I$10)/100),AI20/$AI$1)</f>
        <v>2.2221485423046023</v>
      </c>
      <c r="AL20" s="47">
        <f>(AI20/$AI$13)*100</f>
        <v>13.200447569899573</v>
      </c>
      <c r="AM20" s="47">
        <f>(AI20/$AI$36)*100</f>
        <v>15.122772799145634</v>
      </c>
      <c r="AN20" s="386">
        <f>$I$38*$I$39*$I$40*52</f>
        <v>530244</v>
      </c>
      <c r="AO20" s="460">
        <f>AN20/$I$7</f>
        <v>441.87</v>
      </c>
      <c r="AP20" s="464">
        <f>IF($I$14="no",AN20/(($I$7*$I$10)/100),AN20/$AN$1)</f>
        <v>2.2001470715887153</v>
      </c>
      <c r="AQ20" s="47">
        <f>(AN20/$AN$13)*100</f>
        <v>13.07924195414651</v>
      </c>
      <c r="AR20" s="47">
        <f>(AN20/$AN$36)*100</f>
        <v>15.082380737177084</v>
      </c>
      <c r="AS20" s="29" t="s">
        <v>131</v>
      </c>
      <c r="AT20" s="386">
        <f>$I$38*$I$39*$I$40*52</f>
        <v>530244</v>
      </c>
      <c r="AU20" s="460">
        <f>AT20/$I$7</f>
        <v>441.87</v>
      </c>
      <c r="AV20" s="464">
        <f>IF($I$14="no",AT20/(($I$7*$I$10)/100),AT20/$AT$1)</f>
        <v>2.1783634372165497</v>
      </c>
      <c r="AW20" s="47">
        <f>(AT20/$AT$13)*100</f>
        <v>12.959062824408171</v>
      </c>
      <c r="AX20" s="47">
        <f>(AT20/$AT$36)*100</f>
        <v>15.041711711248826</v>
      </c>
      <c r="AY20" s="386">
        <f>$I$38*$I$39*$I$40*52</f>
        <v>530244</v>
      </c>
      <c r="AZ20" s="460">
        <f>AY20/$I$7</f>
        <v>441.87</v>
      </c>
      <c r="BA20" s="464">
        <f>IF($I$14="no",AY20/(($I$7*$I$10)/100),AY20/$AY$1)</f>
        <v>2.1567954823926234</v>
      </c>
      <c r="BB20" s="47">
        <f>(AY20/$AY$13)*100</f>
        <v>12.839903069882968</v>
      </c>
      <c r="BC20" s="47">
        <f>(AY20/$AY$36)*100</f>
        <v>15.001040849721702</v>
      </c>
      <c r="BD20" s="386">
        <f>$I$38*$I$39*$I$40*52</f>
        <v>530244</v>
      </c>
      <c r="BE20" s="460">
        <f>BD20/$I$7</f>
        <v>441.87</v>
      </c>
      <c r="BF20" s="464">
        <f>IF($I$14="no",BD20/(($I$7*$I$10)/100),BD20/$BD$1)</f>
        <v>2.1354410716758645</v>
      </c>
      <c r="BG20" s="47">
        <f>(BD20/$BD$13)*100</f>
        <v>12.721755599815616</v>
      </c>
      <c r="BH20" s="47">
        <f>(BD20/$BD$36)*100</f>
        <v>14.959866072890248</v>
      </c>
      <c r="BI20" s="386">
        <f>$I$38*$I$39*$I$40*52</f>
        <v>530244</v>
      </c>
      <c r="BJ20" s="460">
        <f>BI20/$I$7</f>
        <v>441.87</v>
      </c>
      <c r="BK20" s="464">
        <f>IF($I$14="no",BI20/(($I$7*$I$10)/100),BI20/$BI$1)</f>
        <v>2.114298090768183</v>
      </c>
      <c r="BL20" s="47">
        <f>(BI20/$BI$13)*100</f>
        <v>12.604613344039464</v>
      </c>
      <c r="BM20" s="47">
        <f>(BI20/$BI$36)*100</f>
        <v>14.91841698026453</v>
      </c>
      <c r="BN20" s="386">
        <f>$I$38*$I$39*$I$40*52</f>
        <v>530244</v>
      </c>
      <c r="BO20" s="460">
        <f>BN20/$I$7</f>
        <v>441.87</v>
      </c>
      <c r="BP20" s="464">
        <f>IF($I$14="no",BN20/(($I$7*$I$10)/100),BN20/$BN$1)</f>
        <v>2.0933644463051317</v>
      </c>
      <c r="BQ20" s="47">
        <f>(BN20/$BN$13)*100</f>
        <v>12.488469253505016</v>
      </c>
      <c r="BR20" s="47">
        <f>(BN20/$BN$36)*100</f>
        <v>14.876694559813231</v>
      </c>
      <c r="BS20" s="29" t="s">
        <v>131</v>
      </c>
      <c r="BT20" s="386">
        <f>$I$38*$I$39*$I$40*52</f>
        <v>530244</v>
      </c>
      <c r="BU20" s="460">
        <f>BT20/$I$7</f>
        <v>441.87</v>
      </c>
      <c r="BV20" s="464">
        <f>IF($I$14="no",BT20/(($I$7*$I$10)/100),BT20/$BT$1)</f>
        <v>2.072638065648645</v>
      </c>
      <c r="BW20" s="47">
        <f>(BT20/$BT$13)*100</f>
        <v>12.373316300794748</v>
      </c>
      <c r="BX20" s="47">
        <f>(BT20/$BT$36)*100</f>
        <v>14.834699845659175</v>
      </c>
      <c r="BY20" s="386">
        <f>$I$38*$I$39*$I$40*52</f>
        <v>530244</v>
      </c>
      <c r="BZ20" s="460">
        <f>BY20/$I$7</f>
        <v>441.87</v>
      </c>
      <c r="CA20" s="464">
        <f>IF($I$14="no",BY20/(($I$7*$I$10)/100),BY20/$BY$1)</f>
        <v>2.0521168966818273</v>
      </c>
      <c r="CB20" s="47">
        <f>(BY20/$BY$13)*100</f>
        <v>12.259147480624458</v>
      </c>
      <c r="CC20" s="47">
        <f>(BY20/$BY$36)*100</f>
        <v>14.792433918284178</v>
      </c>
      <c r="CD20" s="386">
        <f>$I$38*$I$39*$I$40*52</f>
        <v>530244</v>
      </c>
      <c r="CE20" s="460">
        <f>CD20/$I$7</f>
        <v>441.87</v>
      </c>
      <c r="CF20" s="464">
        <f>IF($I$14="no",CD20/(($I$7*$I$10)/100),CD20/$CD$1)</f>
        <v>2.0317989076057694</v>
      </c>
      <c r="CG20" s="47">
        <f>(CD20/$CD$13)*100</f>
        <v>12.145955810331257</v>
      </c>
      <c r="CH20" s="47">
        <f>(CD20/$CD$36)*100</f>
        <v>14.749897904719337</v>
      </c>
      <c r="CI20" s="386">
        <f>$I$38*$I$39*$I$40*52</f>
        <v>530244</v>
      </c>
      <c r="CJ20" s="460">
        <f>CI20/$I$7</f>
        <v>441.87</v>
      </c>
      <c r="CK20" s="464">
        <f>IF($I$14="no",CI20/(($I$7*$I$10)/100),CI20/$CI$1)</f>
        <v>2.0116820867383853</v>
      </c>
      <c r="CL20" s="47">
        <f>(CI20/$CI$13)*100</f>
        <v>12.033734330348384</v>
      </c>
      <c r="CM20" s="47">
        <f>(CI20/$CI$36)*100</f>
        <v>14.707092978720471</v>
      </c>
      <c r="CN20" s="386">
        <f>$I$38*$I$39*$I$40*52</f>
        <v>530244</v>
      </c>
      <c r="CO20" s="460">
        <f>CN20/$I$7</f>
        <v>441.87</v>
      </c>
      <c r="CP20" s="464">
        <f>IF($I$14="no",CN20/(($I$7*$I$10)/100),CN20/$CN$1)</f>
        <v>1.9917644423152328</v>
      </c>
      <c r="CQ20" s="47">
        <f>(CN20/$CN$13)*100</f>
        <v>11.922476104667044</v>
      </c>
      <c r="CR20" s="47">
        <f>(CN20/$CN$36)*100</f>
        <v>14.664020360928387</v>
      </c>
      <c r="CS20" s="29" t="s">
        <v>131</v>
      </c>
      <c r="CT20" s="386">
        <f>$I$38*$I$39*$I$40*52</f>
        <v>530244</v>
      </c>
      <c r="CU20" s="460">
        <f>CT20/$I$7</f>
        <v>441.87</v>
      </c>
      <c r="CV20" s="464">
        <f>IF($I$14="no",CT20/(($I$7*$I$10)/100),CT20/$CT$1)</f>
        <v>1.9720440022923098</v>
      </c>
      <c r="CW20" s="47">
        <f>(CT20/$CT$13)*100</f>
        <v>11.81217422128538</v>
      </c>
      <c r="CX20" s="47">
        <f>(CT20/$CT$36)*100</f>
        <v>14.620681319013798</v>
      </c>
      <c r="CY20" s="386">
        <f>$I$38*$I$39*$I$40*52</f>
        <v>530244</v>
      </c>
      <c r="CZ20" s="460">
        <f>CY20/$I$7</f>
        <v>441.87</v>
      </c>
      <c r="DA20" s="464">
        <f>IF($I$14="no",CY20/(($I$7*$I$10)/100),CY20/$CY$1)</f>
        <v>1.9525188141508019</v>
      </c>
      <c r="DB20" s="47">
        <f>(CY20/$CY$13)*100</f>
        <v>11.702821792644782</v>
      </c>
      <c r="DC20" s="47">
        <f>(CY20/$CY$36)*100</f>
        <v>14.577077167806463</v>
      </c>
      <c r="DD20" s="386">
        <f>$I$38*$I$39*$I$40*52</f>
        <v>530244</v>
      </c>
      <c r="DE20" s="460">
        <f>DD20/$I$7</f>
        <v>441.87</v>
      </c>
      <c r="DF20" s="464">
        <f>IF($I$14="no",DD20/(($I$7*$I$10)/100),DD20/$DD$1)</f>
        <v>1.933186944703764</v>
      </c>
      <c r="DG20" s="47">
        <f>(DD20/$DD$13)*100</f>
        <v>11.59441195605373</v>
      </c>
      <c r="DH20" s="47">
        <f>(DD20/$DD$36)*100</f>
        <v>14.53320926940839</v>
      </c>
      <c r="DI20" s="386">
        <f>$I$38*$I$39*$I$40*52</f>
        <v>530244</v>
      </c>
      <c r="DJ20" s="460">
        <f>DI20/$I$7</f>
        <v>441.87</v>
      </c>
      <c r="DK20" s="464">
        <f>IF($I$14="no",DI20/(($I$7*$I$10)/100),DI20/$DI$1)</f>
        <v>1.9140464799047168</v>
      </c>
      <c r="DL20" s="47">
        <f>(DI20/$DI$13)*100</f>
        <v>11.486937874099258</v>
      </c>
      <c r="DM20" s="47">
        <f>(DI20/$DI$36)*100</f>
        <v>14.48907903329082</v>
      </c>
      <c r="DN20" s="457">
        <f>$I$38*$I$39*$I$40*52</f>
        <v>530244</v>
      </c>
      <c r="DO20" s="460">
        <f>DN20/$I$7</f>
        <v>441.87</v>
      </c>
      <c r="DP20" s="464">
        <f>IF($I$14="no",DN20/(($I$7*$I$10)/100),DN20/$DN$1)</f>
        <v>1.8950955246581356</v>
      </c>
      <c r="DQ20" s="47">
        <f>(DN20/$DN$13)*100</f>
        <v>11.38039273504628</v>
      </c>
      <c r="DR20" s="50">
        <f>(DN20/$DN$36)*100</f>
        <v>14.444687916374683</v>
      </c>
      <c r="DT20" s="62">
        <v>11</v>
      </c>
      <c r="DU20" s="107">
        <f t="shared" si="0"/>
        <v>47110.6245971795</v>
      </c>
      <c r="DV20" s="107">
        <f t="shared" si="1"/>
        <v>59405.7175554314</v>
      </c>
      <c r="DW20" s="107">
        <f t="shared" si="2"/>
        <v>106516.3421526109</v>
      </c>
      <c r="DX20" s="107">
        <f t="shared" si="3"/>
        <v>0</v>
      </c>
      <c r="DY20" s="107">
        <f t="shared" si="4"/>
        <v>0</v>
      </c>
      <c r="DZ20" s="107">
        <f t="shared" si="5"/>
        <v>0</v>
      </c>
      <c r="EA20" s="107">
        <f t="shared" si="6"/>
        <v>103339.3049435277</v>
      </c>
      <c r="EB20" s="107">
        <f t="shared" si="7"/>
        <v>130309.15243304474</v>
      </c>
      <c r="EC20" s="107">
        <f t="shared" si="8"/>
        <v>233648.45737657245</v>
      </c>
      <c r="ED20" s="107">
        <f t="shared" si="9"/>
        <v>0</v>
      </c>
      <c r="EE20" s="107">
        <f t="shared" si="10"/>
        <v>0</v>
      </c>
      <c r="EF20" s="79">
        <f t="shared" si="11"/>
        <v>0</v>
      </c>
      <c r="EH20" s="62">
        <v>11</v>
      </c>
      <c r="EI20" s="107">
        <v>0</v>
      </c>
      <c r="EJ20" s="107">
        <v>0</v>
      </c>
      <c r="EK20" s="107">
        <v>0</v>
      </c>
      <c r="EL20" s="107">
        <v>0</v>
      </c>
      <c r="EM20" s="107">
        <v>0</v>
      </c>
      <c r="EN20" s="107">
        <v>0</v>
      </c>
      <c r="EO20" s="107">
        <v>0</v>
      </c>
      <c r="EP20" s="107">
        <v>0</v>
      </c>
      <c r="EQ20" s="107">
        <v>0</v>
      </c>
      <c r="ER20" s="107">
        <v>0</v>
      </c>
      <c r="ES20" s="107">
        <v>0</v>
      </c>
      <c r="ET20" s="107">
        <v>0</v>
      </c>
      <c r="EU20" s="107">
        <v>0</v>
      </c>
      <c r="EV20" s="107">
        <v>0</v>
      </c>
      <c r="EW20" s="107">
        <v>0</v>
      </c>
      <c r="EX20" s="79">
        <v>0</v>
      </c>
      <c r="FH20" s="62">
        <v>11</v>
      </c>
      <c r="FI20" s="107" t="b">
        <f t="shared" si="12"/>
        <v>0</v>
      </c>
      <c r="FJ20" s="107">
        <f t="shared" si="13"/>
        <v>77556</v>
      </c>
      <c r="FK20" s="107" t="b">
        <f t="shared" si="14"/>
        <v>0</v>
      </c>
      <c r="FL20" s="107">
        <f t="shared" si="15"/>
        <v>0</v>
      </c>
      <c r="FM20" s="107">
        <f t="shared" si="16"/>
        <v>77556</v>
      </c>
      <c r="FN20" s="107">
        <v>0</v>
      </c>
      <c r="FO20" s="107">
        <v>0</v>
      </c>
      <c r="FP20" s="107">
        <f t="shared" si="19"/>
        <v>0</v>
      </c>
      <c r="FQ20" s="107">
        <v>0</v>
      </c>
      <c r="FR20" s="107">
        <v>0</v>
      </c>
      <c r="FS20" s="107">
        <f t="shared" si="20"/>
        <v>0</v>
      </c>
      <c r="FT20" s="107">
        <v>0</v>
      </c>
      <c r="FU20" s="107">
        <v>0</v>
      </c>
      <c r="FV20" s="107">
        <f t="shared" si="23"/>
        <v>0</v>
      </c>
      <c r="FW20" s="107">
        <v>0</v>
      </c>
      <c r="FX20" s="107">
        <v>0</v>
      </c>
      <c r="FY20" s="107">
        <v>0</v>
      </c>
      <c r="FZ20" s="107">
        <v>0</v>
      </c>
      <c r="GA20" s="107">
        <v>0</v>
      </c>
      <c r="GB20" s="107">
        <v>0</v>
      </c>
      <c r="GC20" s="107">
        <v>0</v>
      </c>
      <c r="GD20" s="107">
        <v>0</v>
      </c>
      <c r="GE20" s="107" t="b">
        <f>IF($H$124="yes",IF($I$124=3,SLN($EW$19,0,$I$124),0))</f>
        <v>0</v>
      </c>
      <c r="GF20" s="107">
        <f>IF($H$124="no",IF($I$124=3,SYD($EW$19,0,$I$124,$FH10),0))</f>
        <v>87637.5</v>
      </c>
      <c r="GG20" s="107" t="b">
        <f>IF($H$124="yes",IF($I$124=5,SLN($EW$19,0,$I$124),0))</f>
        <v>0</v>
      </c>
      <c r="GH20" s="107">
        <f>IF($H$124="no",IF($I$124=5,SYD($EW$19,0,$I$124,$FH10),0))</f>
        <v>0</v>
      </c>
      <c r="GI20" s="107">
        <v>0</v>
      </c>
      <c r="GJ20" s="107">
        <v>0</v>
      </c>
      <c r="GK20" s="107">
        <v>0</v>
      </c>
      <c r="GL20" s="107">
        <v>0</v>
      </c>
      <c r="GM20" s="10">
        <f t="shared" si="24"/>
        <v>87637.5</v>
      </c>
      <c r="GN20" s="107">
        <f>IF($H$126="yes",SLN(($EI$19+$EM$19+$EO$19+$EQ$19+$ES$19+$EU$19),0,10)+SLN(($EK$19),0,5),0)</f>
        <v>0</v>
      </c>
      <c r="GO20" s="107">
        <f>IF($H$126="no",SYD(($EI$19+$EM$19+$EO$19+$EQ$19+$ES$19+$EU$19),0,10,$FH10)+SYD(($EK$19),0,5,$FH10),0)</f>
        <v>69440.90909090909</v>
      </c>
      <c r="GP20" s="107">
        <f t="shared" si="26"/>
        <v>69440.90909090909</v>
      </c>
      <c r="GQ20" s="27">
        <f t="shared" si="25"/>
        <v>234634.4090909091</v>
      </c>
    </row>
    <row r="21" spans="1:199" ht="16.5" thickBot="1">
      <c r="A21" s="1" t="s">
        <v>132</v>
      </c>
      <c r="B21" s="418"/>
      <c r="C21" s="425"/>
      <c r="D21" s="365"/>
      <c r="E21" s="370"/>
      <c r="G21" s="26" t="s">
        <v>133</v>
      </c>
      <c r="H21" s="440"/>
      <c r="I21" s="129"/>
      <c r="J21" s="203"/>
      <c r="K21" s="30" t="s">
        <v>134</v>
      </c>
      <c r="L21" s="159">
        <f>$BN$61</f>
        <v>210265.19977843296</v>
      </c>
      <c r="M21" s="107">
        <f>$BN$63</f>
        <v>829.8197514589604</v>
      </c>
      <c r="N21" s="107">
        <f>$BN$64</f>
        <v>19984.914225530207</v>
      </c>
      <c r="O21" s="244">
        <f>$BN$65</f>
        <v>14.769888403241868</v>
      </c>
      <c r="P21" s="96">
        <f>IF($I$14="yes",BN$2,$I$10)</f>
        <v>21108.125762808166</v>
      </c>
      <c r="Q21" s="392">
        <f>$BN$4</f>
        <v>15.6</v>
      </c>
      <c r="R21" s="151"/>
      <c r="S21" s="29" t="s">
        <v>135</v>
      </c>
      <c r="T21" s="386">
        <f>T1*$I$42</f>
        <v>94956</v>
      </c>
      <c r="U21" s="460">
        <f>T21/$I$7</f>
        <v>79.13</v>
      </c>
      <c r="V21" s="464">
        <f>IF($I$14="no",T21/(($I$7*$I$10)/100),T21/$T$1)</f>
        <v>0.41</v>
      </c>
      <c r="W21" s="47">
        <f>(T21/$T$13)*100</f>
        <v>2.43016593567953</v>
      </c>
      <c r="X21" s="47">
        <f>(T21/$T$36)*100</f>
        <v>2.7295846330559757</v>
      </c>
      <c r="Y21" s="386">
        <f>Y1*$I$42</f>
        <v>95905.56</v>
      </c>
      <c r="Z21" s="460">
        <f>Y21/$I$7</f>
        <v>79.9213</v>
      </c>
      <c r="AA21" s="464">
        <f>IF($I$14="no",Y21/(($I$7*$I$10)/100),Y21/$Y$1)</f>
        <v>0.41</v>
      </c>
      <c r="AB21" s="47">
        <f>(Y21/$Y$13)*100</f>
        <v>2.431980325380103</v>
      </c>
      <c r="AC21" s="47">
        <f>(Y21/$Y$36)*100</f>
        <v>2.7497258743603368</v>
      </c>
      <c r="AD21" s="386">
        <f>AD1*$I$42</f>
        <v>96864.61559999999</v>
      </c>
      <c r="AE21" s="460">
        <f>AD21/$I$7</f>
        <v>80.720513</v>
      </c>
      <c r="AF21" s="464">
        <f>IF($I$14="no",AD21/(($I$7*$I$10)/100),AD21/$AD$1)</f>
        <v>0.41</v>
      </c>
      <c r="AG21" s="47">
        <f>(AD21/$AD$13)*100</f>
        <v>2.43377942198486</v>
      </c>
      <c r="AH21" s="47">
        <f>(AD21/$AD$36)*100</f>
        <v>2.7699459662554884</v>
      </c>
      <c r="AI21" s="386">
        <f>AI1*$I$42</f>
        <v>97833.26175599999</v>
      </c>
      <c r="AJ21" s="460">
        <f>AI21/$I$7</f>
        <v>81.52771813</v>
      </c>
      <c r="AK21" s="464">
        <f>IF($I$14="no",AI21/(($I$7*$I$10)/100),AI21/$AI$1)</f>
        <v>0.41</v>
      </c>
      <c r="AL21" s="47">
        <f>(AI21/$AI$13)*100</f>
        <v>2.435563330093955</v>
      </c>
      <c r="AM21" s="47">
        <f>(AI21/$AI$36)*100</f>
        <v>2.790244094672135</v>
      </c>
      <c r="AN21" s="386">
        <f>AN1*$I$42</f>
        <v>98811.59437356</v>
      </c>
      <c r="AO21" s="460">
        <f>AN21/$I$7</f>
        <v>82.3429953113</v>
      </c>
      <c r="AP21" s="464">
        <f>IF($I$14="no",AN21/(($I$7*$I$10)/100),AN21/$AN$1)</f>
        <v>0.41</v>
      </c>
      <c r="AQ21" s="47">
        <f>(AN21/$AN$13)*100</f>
        <v>2.437332154039977</v>
      </c>
      <c r="AR21" s="47">
        <f>(AN21/$AN$36)*100</f>
        <v>2.8106194272628016</v>
      </c>
      <c r="AS21" s="29" t="s">
        <v>135</v>
      </c>
      <c r="AT21" s="386">
        <f>AT1*$I$42</f>
        <v>99799.7103172956</v>
      </c>
      <c r="AU21" s="460">
        <f>AT21/$I$7</f>
        <v>83.166425264413</v>
      </c>
      <c r="AV21" s="464">
        <f>IF($I$14="no",AT21/(($I$7*$I$10)/100),AT21/$AT$1)</f>
        <v>0.41</v>
      </c>
      <c r="AW21" s="47">
        <f>(AT21/$AT$13)*100</f>
        <v>2.43908599787941</v>
      </c>
      <c r="AX21" s="47">
        <f>(AT21/$AT$36)*100</f>
        <v>2.8310711134098745</v>
      </c>
      <c r="AY21" s="386">
        <f>AY1*$I$42</f>
        <v>100797.70742046855</v>
      </c>
      <c r="AZ21" s="460">
        <f>AY21/$I$7</f>
        <v>83.99808951705712</v>
      </c>
      <c r="BA21" s="464">
        <f>IF($I$14="no",AY21/(($I$7*$I$10)/100),AY21/$AY$1)</f>
        <v>0.41</v>
      </c>
      <c r="BB21" s="47">
        <f>(AY21/$AY$13)*100</f>
        <v>2.4408249653843126</v>
      </c>
      <c r="BC21" s="47">
        <f>(AY21/$AY$36)*100</f>
        <v>2.8516504223956236</v>
      </c>
      <c r="BD21" s="386">
        <f>BD1*$I$42</f>
        <v>101805.68449467325</v>
      </c>
      <c r="BE21" s="460">
        <f>BD21/$I$7</f>
        <v>84.83807041222771</v>
      </c>
      <c r="BF21" s="464">
        <f>IF($I$14="no",BD21/(($I$7*$I$10)/100),BD21/$BD$1)</f>
        <v>0.41</v>
      </c>
      <c r="BG21" s="47">
        <f>(BD21/$BD$13)*100</f>
        <v>2.4425491600341935</v>
      </c>
      <c r="BH21" s="47">
        <f>(BD21/$BD$36)*100</f>
        <v>2.8722614598170484</v>
      </c>
      <c r="BI21" s="386">
        <f>BI1*$I$42</f>
        <v>102823.74133961998</v>
      </c>
      <c r="BJ21" s="460">
        <f>BI21/$I$7</f>
        <v>85.68645111634999</v>
      </c>
      <c r="BK21" s="464">
        <f>IF($I$14="no",BI21/(($I$7*$I$10)/100),BI21/$BI$1)</f>
        <v>0.41000000000000003</v>
      </c>
      <c r="BL21" s="47">
        <f>(BI21/$BI$13)*100</f>
        <v>2.4442586850081027</v>
      </c>
      <c r="BM21" s="47">
        <f>(BI21/$BI$36)*100</f>
        <v>2.892946358233784</v>
      </c>
      <c r="BN21" s="386">
        <f>BN1*$I$42</f>
        <v>103851.97875301617</v>
      </c>
      <c r="BO21" s="460">
        <f>BN21/$I$7</f>
        <v>86.54331562751348</v>
      </c>
      <c r="BP21" s="464">
        <f>IF($I$14="no",BN21/(($I$7*$I$10)/100),BN21/$BN$1)</f>
        <v>0.41</v>
      </c>
      <c r="BQ21" s="47">
        <f>(BN21/$BN$13)*100</f>
        <v>2.4459536431769124</v>
      </c>
      <c r="BR21" s="47">
        <f>(BN21/$BN$36)*100</f>
        <v>2.9137041953154297</v>
      </c>
      <c r="BS21" s="29" t="s">
        <v>135</v>
      </c>
      <c r="BT21" s="386">
        <f>BT1*$I$42</f>
        <v>104890.49854054632</v>
      </c>
      <c r="BU21" s="460">
        <f>BT21/$I$7</f>
        <v>87.4087487837886</v>
      </c>
      <c r="BV21" s="464">
        <f>IF($I$14="no",BT21/(($I$7*$I$10)/100),BT21/$BT$1)</f>
        <v>0.41</v>
      </c>
      <c r="BW21" s="47">
        <f>(BT21/$BT$13)*100</f>
        <v>2.447634137095808</v>
      </c>
      <c r="BX21" s="47">
        <f>(BT21/$BT$36)*100</f>
        <v>2.9345340305794245</v>
      </c>
      <c r="BY21" s="386">
        <f>BY1*$I$42</f>
        <v>105939.40352595177</v>
      </c>
      <c r="BZ21" s="460">
        <f>BY21/$I$7</f>
        <v>88.28283627162648</v>
      </c>
      <c r="CA21" s="464">
        <f>IF($I$14="no",BY21/(($I$7*$I$10)/100),BY21/$BY$1)</f>
        <v>0.41</v>
      </c>
      <c r="CB21" s="47">
        <f>(BY21/$BY$13)*100</f>
        <v>2.44930026899697</v>
      </c>
      <c r="CC21" s="47">
        <f>(BY21/$BY$36)*100</f>
        <v>2.955434905439917</v>
      </c>
      <c r="CD21" s="386">
        <f>CD1*$I$42</f>
        <v>106998.7975612113</v>
      </c>
      <c r="CE21" s="460">
        <f>CD21/$I$7</f>
        <v>89.16566463434275</v>
      </c>
      <c r="CF21" s="464">
        <f>IF($I$14="no",CD21/(($I$7*$I$10)/100),CD21/$CD$1)</f>
        <v>0.41</v>
      </c>
      <c r="CG21" s="47">
        <f>(CD21/$CD$13)*100</f>
        <v>2.450952140782455</v>
      </c>
      <c r="CH21" s="47">
        <f>(CD21/$CD$36)*100</f>
        <v>2.976405843263854</v>
      </c>
      <c r="CI21" s="386">
        <f>CI1*$I$42</f>
        <v>108068.78553682342</v>
      </c>
      <c r="CJ21" s="460">
        <f>CI21/$I$7</f>
        <v>90.05732128068618</v>
      </c>
      <c r="CK21" s="464">
        <f>IF($I$14="no",CI21/(($I$7*$I$10)/100),CI21/$CI$1)</f>
        <v>0.41</v>
      </c>
      <c r="CL21" s="47">
        <f>(CI21/$CI$13)*100</f>
        <v>2.452589854017262</v>
      </c>
      <c r="CM21" s="47">
        <f>(CI21/$CI$36)*100</f>
        <v>2.9974458494343432</v>
      </c>
      <c r="CN21" s="386">
        <f>CN1*$I$42</f>
        <v>109149.47339219166</v>
      </c>
      <c r="CO21" s="460">
        <f>CN21/$I$7</f>
        <v>90.95789449349306</v>
      </c>
      <c r="CP21" s="464">
        <f>IF($I$14="no",CN21/(($I$7*$I$10)/100),CN21/$CN$1)</f>
        <v>0.41</v>
      </c>
      <c r="CQ21" s="47">
        <f>(CN21/$CN$13)*100</f>
        <v>2.454213509922595</v>
      </c>
      <c r="CR21" s="47">
        <f>(CN21/$CN$36)*100</f>
        <v>3.0185539114213644</v>
      </c>
      <c r="CS21" s="29" t="s">
        <v>135</v>
      </c>
      <c r="CT21" s="386">
        <f>CT1*$I$42</f>
        <v>110240.96812611358</v>
      </c>
      <c r="CU21" s="460">
        <f>CT21/$I$7</f>
        <v>91.867473438428</v>
      </c>
      <c r="CV21" s="464">
        <f>IF($I$14="no",CT21/(($I$7*$I$10)/100),CT21/$CT$1)</f>
        <v>0.41</v>
      </c>
      <c r="CW21" s="47">
        <f>(CT21/$CT$13)*100</f>
        <v>2.4558232093693135</v>
      </c>
      <c r="CX21" s="47">
        <f>(CT21/$CT$36)*100</f>
        <v>3.039728998859892</v>
      </c>
      <c r="CY21" s="386">
        <f>CY1*$I$42</f>
        <v>111343.37780737471</v>
      </c>
      <c r="CZ21" s="460">
        <f>CY21/$I$7</f>
        <v>92.78614817281226</v>
      </c>
      <c r="DA21" s="464">
        <f>IF($I$14="no",CY21/(($I$7*$I$10)/100),CY21/$CY$1)</f>
        <v>0.41</v>
      </c>
      <c r="DB21" s="47">
        <f>(CY21/$CY$13)*100</f>
        <v>2.4574190528715576</v>
      </c>
      <c r="DC21" s="47">
        <f>(CY21/$CY$36)*100</f>
        <v>3.0609700636354784</v>
      </c>
      <c r="DD21" s="386">
        <f>DD1*$I$42</f>
        <v>112456.81158544848</v>
      </c>
      <c r="DE21" s="460">
        <f>DD21/$I$7</f>
        <v>93.7140096545404</v>
      </c>
      <c r="DF21" s="464">
        <f>IF($I$14="no",DD21/(($I$7*$I$10)/100),DD21/$DD$1)</f>
        <v>0.41</v>
      </c>
      <c r="DG21" s="47">
        <f>(DD21/$DD$13)*100</f>
        <v>2.459001140580573</v>
      </c>
      <c r="DH21" s="47">
        <f>(DD21/$DD$36)*100</f>
        <v>3.082276039977355</v>
      </c>
      <c r="DI21" s="386">
        <f>DI1*$I$42</f>
        <v>113581.37970130295</v>
      </c>
      <c r="DJ21" s="460">
        <f>DI21/$I$7</f>
        <v>94.6511497510858</v>
      </c>
      <c r="DK21" s="464">
        <f>IF($I$14="no",DI21/(($I$7*$I$10)/100),DI21/$DI$1)</f>
        <v>0.41</v>
      </c>
      <c r="DL21" s="47">
        <f>(DI21/$DI$13)*100</f>
        <v>2.4605695722786973</v>
      </c>
      <c r="DM21" s="47">
        <f>(DI21/$DI$36)*100</f>
        <v>3.1036458445590935</v>
      </c>
      <c r="DN21" s="457">
        <f>DN1*$I$42</f>
        <v>114717.19349831599</v>
      </c>
      <c r="DO21" s="460">
        <f>DN21/$I$7</f>
        <v>95.59766124859665</v>
      </c>
      <c r="DP21" s="464">
        <f>IF($I$14="no",DN21/(($I$7*$I$10)/100),DN21/$DN$1)</f>
        <v>0.41</v>
      </c>
      <c r="DQ21" s="47">
        <f>(DN21/$DN$13)*100</f>
        <v>2.4621244473735366</v>
      </c>
      <c r="DR21" s="50">
        <f>(DN21/$DN$36)*100</f>
        <v>3.125078376606885</v>
      </c>
      <c r="DT21" s="62">
        <v>12</v>
      </c>
      <c r="DU21" s="107">
        <f t="shared" si="0"/>
        <v>51115.027687939735</v>
      </c>
      <c r="DV21" s="107">
        <f t="shared" si="1"/>
        <v>55401.314464671166</v>
      </c>
      <c r="DW21" s="107">
        <f t="shared" si="2"/>
        <v>106516.3421526109</v>
      </c>
      <c r="DX21" s="107">
        <f t="shared" si="3"/>
        <v>0</v>
      </c>
      <c r="DY21" s="107">
        <f t="shared" si="4"/>
        <v>0</v>
      </c>
      <c r="DZ21" s="107">
        <f t="shared" si="5"/>
        <v>0</v>
      </c>
      <c r="EA21" s="107">
        <f t="shared" si="6"/>
        <v>112123.14586372755</v>
      </c>
      <c r="EB21" s="107">
        <f t="shared" si="7"/>
        <v>121525.3115128449</v>
      </c>
      <c r="EC21" s="107">
        <f t="shared" si="8"/>
        <v>233648.45737657245</v>
      </c>
      <c r="ED21" s="107">
        <f t="shared" si="9"/>
        <v>0</v>
      </c>
      <c r="EE21" s="107">
        <f t="shared" si="10"/>
        <v>0</v>
      </c>
      <c r="EF21" s="79">
        <f t="shared" si="11"/>
        <v>0</v>
      </c>
      <c r="EH21" s="62">
        <v>12</v>
      </c>
      <c r="EI21" s="107">
        <v>0</v>
      </c>
      <c r="EJ21" s="107">
        <v>0</v>
      </c>
      <c r="EK21" s="107">
        <v>0</v>
      </c>
      <c r="EL21" s="107">
        <v>0</v>
      </c>
      <c r="EM21" s="107">
        <v>0</v>
      </c>
      <c r="EN21" s="107">
        <v>0</v>
      </c>
      <c r="EO21" s="107">
        <v>0</v>
      </c>
      <c r="EP21" s="107">
        <v>0</v>
      </c>
      <c r="EQ21" s="107">
        <v>0</v>
      </c>
      <c r="ER21" s="107">
        <v>0</v>
      </c>
      <c r="ES21" s="107">
        <v>0</v>
      </c>
      <c r="ET21" s="107">
        <v>0</v>
      </c>
      <c r="EU21" s="107">
        <v>0</v>
      </c>
      <c r="EV21" s="107">
        <v>0</v>
      </c>
      <c r="EW21" s="107">
        <v>0</v>
      </c>
      <c r="EX21" s="79">
        <v>0</v>
      </c>
      <c r="FH21" s="62">
        <v>12</v>
      </c>
      <c r="FI21" s="107" t="b">
        <f t="shared" si="12"/>
        <v>0</v>
      </c>
      <c r="FJ21" s="107">
        <f t="shared" si="13"/>
        <v>62044.8</v>
      </c>
      <c r="FK21" s="107" t="b">
        <f t="shared" si="14"/>
        <v>0</v>
      </c>
      <c r="FL21" s="107">
        <f t="shared" si="15"/>
        <v>0</v>
      </c>
      <c r="FM21" s="107">
        <f t="shared" si="16"/>
        <v>62044.8</v>
      </c>
      <c r="FN21" s="107">
        <v>0</v>
      </c>
      <c r="FO21" s="107">
        <v>0</v>
      </c>
      <c r="FP21" s="107">
        <f t="shared" si="19"/>
        <v>0</v>
      </c>
      <c r="FQ21" s="107">
        <v>0</v>
      </c>
      <c r="FR21" s="107">
        <v>0</v>
      </c>
      <c r="FS21" s="107">
        <f t="shared" si="20"/>
        <v>0</v>
      </c>
      <c r="FT21" s="107">
        <v>0</v>
      </c>
      <c r="FU21" s="107">
        <v>0</v>
      </c>
      <c r="FV21" s="107">
        <f t="shared" si="23"/>
        <v>0</v>
      </c>
      <c r="FW21" s="107">
        <v>0</v>
      </c>
      <c r="FX21" s="107">
        <v>0</v>
      </c>
      <c r="FY21" s="107">
        <v>0</v>
      </c>
      <c r="FZ21" s="107">
        <v>0</v>
      </c>
      <c r="GA21" s="107">
        <v>0</v>
      </c>
      <c r="GB21" s="107">
        <v>0</v>
      </c>
      <c r="GC21" s="107">
        <v>0</v>
      </c>
      <c r="GD21" s="107">
        <v>0</v>
      </c>
      <c r="GE21" s="107" t="b">
        <f>IF($H$124="yes",IF($I$124=3,SLN($EW$19,0,$I$124),0))</f>
        <v>0</v>
      </c>
      <c r="GF21" s="107">
        <f>IF($H$124="no",IF($I$124=3,SYD($EW$19,0,$I$124,$FH11),0))</f>
        <v>58425</v>
      </c>
      <c r="GG21" s="107" t="b">
        <f>IF($H$124="yes",IF($I$124=5,SLN($EW$19,0,$I$124),0))</f>
        <v>0</v>
      </c>
      <c r="GH21" s="107">
        <f>IF($H$124="no",IF($I$124=5,SYD($EW$19,0,$I$124,$FH11),0))</f>
        <v>0</v>
      </c>
      <c r="GI21" s="107">
        <v>0</v>
      </c>
      <c r="GJ21" s="107">
        <v>0</v>
      </c>
      <c r="GK21" s="107">
        <v>0</v>
      </c>
      <c r="GL21" s="107">
        <v>0</v>
      </c>
      <c r="GM21" s="10">
        <f t="shared" si="24"/>
        <v>58425</v>
      </c>
      <c r="GN21" s="107">
        <f>IF($H$126="yes",SLN(($EI$19+$EM$19+$EO$19+$EQ$19+$ES$19+$EU$19),0,10)+SLN(($EK$19),0,5),0)</f>
        <v>0</v>
      </c>
      <c r="GO21" s="107">
        <f>IF($H$126="no",SYD(($EI$19+$EM$19+$EO$19+$EQ$19+$ES$19+$EU$19),0,10,$FH11)+SYD(($EK$19),0,5,$FH11),0)</f>
        <v>60871.818181818184</v>
      </c>
      <c r="GP21" s="107">
        <f t="shared" si="26"/>
        <v>60871.818181818184</v>
      </c>
      <c r="GQ21" s="27">
        <f t="shared" si="25"/>
        <v>181341.61818181816</v>
      </c>
    </row>
    <row r="22" spans="1:199" ht="16.5" thickTop="1">
      <c r="A22" s="6"/>
      <c r="B22" s="419"/>
      <c r="C22" s="423"/>
      <c r="D22" s="373"/>
      <c r="E22" s="366" t="s">
        <v>19</v>
      </c>
      <c r="G22" s="394" t="s">
        <v>129</v>
      </c>
      <c r="H22" s="440"/>
      <c r="I22" s="502">
        <v>0.05</v>
      </c>
      <c r="J22" s="203"/>
      <c r="K22" s="30" t="s">
        <v>136</v>
      </c>
      <c r="L22" s="159">
        <f>$BT$61</f>
        <v>194104.58292385377</v>
      </c>
      <c r="M22" s="107">
        <f>$BT$63</f>
        <v>872.4128495909314</v>
      </c>
      <c r="N22" s="107">
        <f>$BT$64</f>
        <v>20282.323564646424</v>
      </c>
      <c r="O22" s="244">
        <f>$BT$65</f>
        <v>14.841276568363178</v>
      </c>
      <c r="P22" s="96">
        <f>IF($I$14="yes",BT$2,$I$10)</f>
        <v>21319.207020436246</v>
      </c>
      <c r="Q22" s="392">
        <f>$BT$4</f>
        <v>15.6</v>
      </c>
      <c r="R22" s="151"/>
      <c r="S22" s="42" t="s">
        <v>37</v>
      </c>
      <c r="T22" s="386"/>
      <c r="U22" s="460"/>
      <c r="V22" s="464"/>
      <c r="W22" s="34"/>
      <c r="X22" s="34"/>
      <c r="Y22" s="460"/>
      <c r="Z22" s="460"/>
      <c r="AA22" s="464"/>
      <c r="AB22" s="34"/>
      <c r="AC22" s="34"/>
      <c r="AD22" s="463"/>
      <c r="AE22" s="460"/>
      <c r="AF22" s="464"/>
      <c r="AG22" s="34"/>
      <c r="AH22" s="34"/>
      <c r="AI22" s="460"/>
      <c r="AJ22" s="460"/>
      <c r="AK22" s="464"/>
      <c r="AL22" s="34"/>
      <c r="AM22" s="34"/>
      <c r="AN22" s="460"/>
      <c r="AO22" s="460"/>
      <c r="AP22" s="464"/>
      <c r="AQ22" s="34"/>
      <c r="AR22" s="34"/>
      <c r="AS22" s="42" t="s">
        <v>37</v>
      </c>
      <c r="AT22" s="386"/>
      <c r="AU22" s="460"/>
      <c r="AV22" s="464"/>
      <c r="AW22" s="34"/>
      <c r="AX22" s="34"/>
      <c r="AY22" s="460"/>
      <c r="AZ22" s="460"/>
      <c r="BA22" s="464"/>
      <c r="BB22" s="34"/>
      <c r="BC22" s="34"/>
      <c r="BD22" s="463"/>
      <c r="BE22" s="460"/>
      <c r="BF22" s="464"/>
      <c r="BG22" s="34"/>
      <c r="BH22" s="34"/>
      <c r="BI22" s="460"/>
      <c r="BJ22" s="460"/>
      <c r="BK22" s="464"/>
      <c r="BL22" s="34"/>
      <c r="BM22" s="34"/>
      <c r="BN22" s="460"/>
      <c r="BO22" s="460"/>
      <c r="BP22" s="464"/>
      <c r="BQ22" s="34"/>
      <c r="BR22" s="34"/>
      <c r="BS22" s="42" t="s">
        <v>37</v>
      </c>
      <c r="BT22" s="386"/>
      <c r="BU22" s="460"/>
      <c r="BV22" s="464"/>
      <c r="BW22" s="34"/>
      <c r="BX22" s="34"/>
      <c r="BY22" s="460"/>
      <c r="BZ22" s="460"/>
      <c r="CA22" s="464"/>
      <c r="CB22" s="34"/>
      <c r="CC22" s="34"/>
      <c r="CD22" s="463"/>
      <c r="CE22" s="460"/>
      <c r="CF22" s="464"/>
      <c r="CG22" s="34"/>
      <c r="CH22" s="34"/>
      <c r="CI22" s="460"/>
      <c r="CJ22" s="460"/>
      <c r="CK22" s="464"/>
      <c r="CL22" s="34"/>
      <c r="CM22" s="34"/>
      <c r="CN22" s="460"/>
      <c r="CO22" s="460"/>
      <c r="CP22" s="464"/>
      <c r="CQ22" s="34"/>
      <c r="CR22" s="34"/>
      <c r="CS22" s="42" t="s">
        <v>37</v>
      </c>
      <c r="CT22" s="386"/>
      <c r="CU22" s="460"/>
      <c r="CV22" s="464"/>
      <c r="CW22" s="34"/>
      <c r="CX22" s="34"/>
      <c r="CY22" s="460"/>
      <c r="CZ22" s="460"/>
      <c r="DA22" s="464"/>
      <c r="DB22" s="34"/>
      <c r="DC22" s="34"/>
      <c r="DD22" s="463"/>
      <c r="DE22" s="460"/>
      <c r="DF22" s="464"/>
      <c r="DG22" s="34"/>
      <c r="DH22" s="34"/>
      <c r="DI22" s="460"/>
      <c r="DJ22" s="460"/>
      <c r="DK22" s="464"/>
      <c r="DL22" s="34"/>
      <c r="DM22" s="34"/>
      <c r="DN22" s="461"/>
      <c r="DO22" s="460"/>
      <c r="DP22" s="464"/>
      <c r="DQ22" s="34"/>
      <c r="DR22" s="78"/>
      <c r="DT22" s="62">
        <v>13</v>
      </c>
      <c r="DU22" s="107">
        <f t="shared" si="0"/>
        <v>55459.80504141458</v>
      </c>
      <c r="DV22" s="107">
        <f t="shared" si="1"/>
        <v>51056.537111196325</v>
      </c>
      <c r="DW22" s="107">
        <f t="shared" si="2"/>
        <v>106516.3421526109</v>
      </c>
      <c r="DX22" s="107">
        <f t="shared" si="3"/>
        <v>0</v>
      </c>
      <c r="DY22" s="107">
        <f t="shared" si="4"/>
        <v>0</v>
      </c>
      <c r="DZ22" s="107">
        <f t="shared" si="5"/>
        <v>0</v>
      </c>
      <c r="EA22" s="107">
        <f t="shared" si="6"/>
        <v>121653.6132621444</v>
      </c>
      <c r="EB22" s="107">
        <f t="shared" si="7"/>
        <v>111994.84411442805</v>
      </c>
      <c r="EC22" s="107">
        <f t="shared" si="8"/>
        <v>233648.45737657245</v>
      </c>
      <c r="ED22" s="107">
        <f t="shared" si="9"/>
        <v>0</v>
      </c>
      <c r="EE22" s="107">
        <f t="shared" si="10"/>
        <v>0</v>
      </c>
      <c r="EF22" s="79">
        <f t="shared" si="11"/>
        <v>0</v>
      </c>
      <c r="EH22" s="62">
        <v>13</v>
      </c>
      <c r="EI22" s="107">
        <v>0</v>
      </c>
      <c r="EJ22" s="107">
        <v>0</v>
      </c>
      <c r="EK22" s="107">
        <v>0</v>
      </c>
      <c r="EL22" s="107">
        <v>0</v>
      </c>
      <c r="EM22" s="107">
        <v>0</v>
      </c>
      <c r="EN22" s="107">
        <v>0</v>
      </c>
      <c r="EO22" s="107">
        <v>0</v>
      </c>
      <c r="EP22" s="107">
        <v>0</v>
      </c>
      <c r="EQ22" s="107">
        <v>0</v>
      </c>
      <c r="ER22" s="107">
        <v>0</v>
      </c>
      <c r="ES22" s="107">
        <v>0</v>
      </c>
      <c r="ET22" s="107">
        <v>0</v>
      </c>
      <c r="EU22" s="107">
        <v>0</v>
      </c>
      <c r="EV22" s="107">
        <v>0</v>
      </c>
      <c r="EW22" s="107">
        <v>0</v>
      </c>
      <c r="EX22" s="79">
        <v>0</v>
      </c>
      <c r="FH22" s="62">
        <v>13</v>
      </c>
      <c r="FI22" s="107" t="b">
        <f t="shared" si="12"/>
        <v>0</v>
      </c>
      <c r="FJ22" s="107">
        <f t="shared" si="13"/>
        <v>46533.6</v>
      </c>
      <c r="FK22" s="107" t="b">
        <f t="shared" si="14"/>
        <v>0</v>
      </c>
      <c r="FL22" s="107">
        <f t="shared" si="15"/>
        <v>0</v>
      </c>
      <c r="FM22" s="107">
        <f t="shared" si="16"/>
        <v>46533.6</v>
      </c>
      <c r="FN22" s="107">
        <v>0</v>
      </c>
      <c r="FO22" s="107">
        <v>0</v>
      </c>
      <c r="FP22" s="107">
        <f t="shared" si="19"/>
        <v>0</v>
      </c>
      <c r="FQ22" s="107">
        <v>0</v>
      </c>
      <c r="FR22" s="107">
        <v>0</v>
      </c>
      <c r="FS22" s="107">
        <f t="shared" si="20"/>
        <v>0</v>
      </c>
      <c r="FT22" s="107">
        <v>0</v>
      </c>
      <c r="FU22" s="107">
        <v>0</v>
      </c>
      <c r="FV22" s="107">
        <f t="shared" si="23"/>
        <v>0</v>
      </c>
      <c r="FW22" s="107">
        <v>0</v>
      </c>
      <c r="FX22" s="107">
        <v>0</v>
      </c>
      <c r="FY22" s="107">
        <v>0</v>
      </c>
      <c r="FZ22" s="107">
        <v>0</v>
      </c>
      <c r="GA22" s="107">
        <v>0</v>
      </c>
      <c r="GB22" s="107">
        <v>0</v>
      </c>
      <c r="GC22" s="107">
        <v>0</v>
      </c>
      <c r="GD22" s="107">
        <v>0</v>
      </c>
      <c r="GE22" s="107" t="b">
        <f>IF($H$124="yes",IF($I$124=3,SLN($EW$19,0,$I$124),0))</f>
        <v>0</v>
      </c>
      <c r="GF22" s="107">
        <f>IF($H$124="no",IF($I$124=3,SYD($EW$19,0,$I$124,$FH12),0))</f>
        <v>29212.5</v>
      </c>
      <c r="GG22" s="107" t="b">
        <f>IF($H$124="yes",IF($I$124=5,SLN($EW$19,0,$I$124),0))</f>
        <v>0</v>
      </c>
      <c r="GH22" s="107">
        <f>IF($H$124="no",IF($I$124=5,SYD($EW$19,0,$I$124,$FH12),0))</f>
        <v>0</v>
      </c>
      <c r="GI22" s="107">
        <v>0</v>
      </c>
      <c r="GJ22" s="107">
        <v>0</v>
      </c>
      <c r="GK22" s="107">
        <v>0</v>
      </c>
      <c r="GL22" s="107">
        <v>0</v>
      </c>
      <c r="GM22" s="10">
        <f t="shared" si="24"/>
        <v>29212.5</v>
      </c>
      <c r="GN22" s="107">
        <f>IF($H$126="yes",SLN(($EI$19+$EM$19+$EO$19+$EQ$19+$ES$19+$EU$19),0,10)+SLN(($EK$19),0,5),0)</f>
        <v>0</v>
      </c>
      <c r="GO22" s="107">
        <f>IF($H$126="no",SYD(($EI$19+$EM$19+$EO$19+$EQ$19+$ES$19+$EU$19),0,10,$FH12)+SYD(($EK$19),0,5,$FH12),0)</f>
        <v>52302.72727272727</v>
      </c>
      <c r="GP22" s="107">
        <f t="shared" si="26"/>
        <v>52302.72727272727</v>
      </c>
      <c r="GQ22" s="27">
        <f t="shared" si="25"/>
        <v>128048.82727272727</v>
      </c>
    </row>
    <row r="23" spans="1:199" ht="15.75">
      <c r="A23" s="9"/>
      <c r="B23" s="420"/>
      <c r="C23" s="424"/>
      <c r="D23" s="333" t="s">
        <v>51</v>
      </c>
      <c r="E23" s="132" t="s">
        <v>52</v>
      </c>
      <c r="G23" s="394" t="s">
        <v>137</v>
      </c>
      <c r="H23" s="440"/>
      <c r="I23" s="503">
        <v>75</v>
      </c>
      <c r="J23" s="203"/>
      <c r="K23" s="30" t="s">
        <v>138</v>
      </c>
      <c r="L23" s="159">
        <f>$BY$61</f>
        <v>223801.2694017915</v>
      </c>
      <c r="M23" s="107">
        <f>$BY$63</f>
        <v>837.436869414644</v>
      </c>
      <c r="N23" s="107">
        <f>$BY$64</f>
        <v>20336.879489135306</v>
      </c>
      <c r="O23" s="244">
        <f>$BY$65</f>
        <v>14.733858437929975</v>
      </c>
      <c r="P23" s="96">
        <f>IF($I$14="yes",BY$2,$I$10)</f>
        <v>21532.399090640607</v>
      </c>
      <c r="Q23" s="392">
        <f>$BY$4</f>
        <v>15.6</v>
      </c>
      <c r="R23" s="151"/>
      <c r="S23" s="29" t="s">
        <v>139</v>
      </c>
      <c r="T23" s="386">
        <f>$I$7*$I$45*12</f>
        <v>52560</v>
      </c>
      <c r="U23" s="460">
        <f>T23/$I$7</f>
        <v>43.8</v>
      </c>
      <c r="V23" s="464">
        <f>IF($I$14="no",T23/(($I$7*$I$10)/100),T23/$T$1)</f>
        <v>0.22694300518134716</v>
      </c>
      <c r="W23" s="47">
        <f>(T23/$T$13)*100</f>
        <v>1.3451442939815925</v>
      </c>
      <c r="X23" s="47">
        <f>(T23/$T$36)*100</f>
        <v>1.5108783890793849</v>
      </c>
      <c r="Y23" s="386">
        <f>$I$7*$I$45*12</f>
        <v>52560</v>
      </c>
      <c r="Z23" s="460">
        <f>Y23/$I$7</f>
        <v>43.8</v>
      </c>
      <c r="AA23" s="464">
        <f>IF($I$14="no",Y23/(($I$7*$I$10)/100),Y23/$Y$1)</f>
        <v>0.2246960447340071</v>
      </c>
      <c r="AB23" s="47">
        <f>(Y23/$Y$13)*100</f>
        <v>1.33282039020447</v>
      </c>
      <c r="AC23" s="47">
        <f>(Y23/$Y$36)*100</f>
        <v>1.5069573855403096</v>
      </c>
      <c r="AD23" s="386">
        <f>$I$7*$I$45*12</f>
        <v>52560</v>
      </c>
      <c r="AE23" s="460">
        <f>AD23/$I$7</f>
        <v>43.8</v>
      </c>
      <c r="AF23" s="464">
        <f>IF($I$14="no",AD23/(($I$7*$I$10)/100),AD23/$AD$1)</f>
        <v>0.222471331419809</v>
      </c>
      <c r="AG23" s="47">
        <f>(AD23/$AD$13)*100</f>
        <v>1.3206003619295243</v>
      </c>
      <c r="AH23" s="47">
        <f>(AD23/$AD$36)*100</f>
        <v>1.5030087001799706</v>
      </c>
      <c r="AI23" s="386">
        <f>$I$7*$I$45*12</f>
        <v>52560</v>
      </c>
      <c r="AJ23" s="460">
        <f>AI23/$I$7</f>
        <v>43.8</v>
      </c>
      <c r="AK23" s="464">
        <f>IF($I$14="no",AI23/(($I$7*$I$10)/100),AI23/$AI$1)</f>
        <v>0.2202686449701079</v>
      </c>
      <c r="AL23" s="47">
        <f>(AI23/$AI$13)*100</f>
        <v>1.3084834986797051</v>
      </c>
      <c r="AM23" s="47">
        <f>(AI23/$AI$36)*100</f>
        <v>1.4990324045592114</v>
      </c>
      <c r="AN23" s="386">
        <f>$I$7*$I$45*12</f>
        <v>52560</v>
      </c>
      <c r="AO23" s="460">
        <f>AN23/$I$7</f>
        <v>43.8</v>
      </c>
      <c r="AP23" s="464">
        <f>IF($I$14="no",AN23/(($I$7*$I$10)/100),AN23/$AN$1)</f>
        <v>0.21808776729713653</v>
      </c>
      <c r="AQ23" s="47">
        <f>(AN23/$AN$13)*100</f>
        <v>1.2964690917953634</v>
      </c>
      <c r="AR23" s="47">
        <f>(AN23/$AN$36)*100</f>
        <v>1.4950285746675636</v>
      </c>
      <c r="AS23" s="29" t="s">
        <v>139</v>
      </c>
      <c r="AT23" s="386">
        <f>$I$7*$I$45*12</f>
        <v>52560</v>
      </c>
      <c r="AU23" s="460">
        <f>AT23/$I$7</f>
        <v>43.8</v>
      </c>
      <c r="AV23" s="464">
        <f>IF($I$14="no",AT23/(($I$7*$I$10)/100),AT23/$AT$1)</f>
        <v>0.21592848247241242</v>
      </c>
      <c r="AW23" s="47">
        <f>(AT23/$AT$13)*100</f>
        <v>1.2845564344922213</v>
      </c>
      <c r="AX23" s="47">
        <f>(AT23/$AT$36)*100</f>
        <v>1.4909972909514078</v>
      </c>
      <c r="AY23" s="386">
        <f>$I$7*$I$45*12</f>
        <v>52560</v>
      </c>
      <c r="AZ23" s="460">
        <f>AY23/$I$7</f>
        <v>43.8</v>
      </c>
      <c r="BA23" s="464">
        <f>IF($I$14="no",AY23/(($I$7*$I$10)/100),AY23/$AY$1)</f>
        <v>0.21379057670535884</v>
      </c>
      <c r="BB23" s="47">
        <f>(AY23/$AY$13)*100</f>
        <v>1.272744821917926</v>
      </c>
      <c r="BC23" s="47">
        <f>(AY23/$AY$36)*100</f>
        <v>1.4869658252830258</v>
      </c>
      <c r="BD23" s="386">
        <f>$I$7*$I$45*12</f>
        <v>52560</v>
      </c>
      <c r="BE23" s="460">
        <f>BD23/$I$7</f>
        <v>43.8</v>
      </c>
      <c r="BF23" s="464">
        <f>IF($I$14="no",BD23/(($I$7*$I$10)/100),BD23/$BD$1)</f>
        <v>0.21167383832213746</v>
      </c>
      <c r="BG23" s="47">
        <f>(BD23/$BD$13)*100</f>
        <v>1.2610335512071964</v>
      </c>
      <c r="BH23" s="47">
        <f>(BD23/$BD$36)*100</f>
        <v>1.4828844094249278</v>
      </c>
      <c r="BI23" s="386">
        <f>$I$7*$I$45*12</f>
        <v>52560</v>
      </c>
      <c r="BJ23" s="460">
        <f>BI23/$I$7</f>
        <v>43.8</v>
      </c>
      <c r="BK23" s="464">
        <f>IF($I$14="no",BI23/(($I$7*$I$10)/100),BI23/$BI$1)</f>
        <v>0.20957805774469054</v>
      </c>
      <c r="BL23" s="47">
        <f>(BI23/$BI$13)*100</f>
        <v>1.2494219215355842</v>
      </c>
      <c r="BM23" s="47">
        <f>(BI23/$BI$36)*100</f>
        <v>1.4787758022395419</v>
      </c>
      <c r="BN23" s="386">
        <f>$I$7*$I$45*12</f>
        <v>52560</v>
      </c>
      <c r="BO23" s="460">
        <f>BN23/$I$7</f>
        <v>43.8</v>
      </c>
      <c r="BP23" s="464">
        <f>IF($I$14="no",BN23/(($I$7*$I$10)/100),BN23/$BN$1)</f>
        <v>0.20750302746999064</v>
      </c>
      <c r="BQ23" s="47">
        <f>(BN23/$BN$13)*100</f>
        <v>1.2379092341718598</v>
      </c>
      <c r="BR23" s="47">
        <f>(BN23/$BN$36)*100</f>
        <v>1.4746401016584505</v>
      </c>
      <c r="BS23" s="29" t="s">
        <v>139</v>
      </c>
      <c r="BT23" s="386">
        <f>$I$7*$I$45*12</f>
        <v>52560</v>
      </c>
      <c r="BU23" s="460">
        <f>BT23/$I$7</f>
        <v>43.8</v>
      </c>
      <c r="BV23" s="464">
        <f>IF($I$14="no",BT23/(($I$7*$I$10)/100),BT23/$BT$1)</f>
        <v>0.2054485420494957</v>
      </c>
      <c r="BW23" s="47">
        <f>(BT23/$BT$13)*100</f>
        <v>1.226494792529047</v>
      </c>
      <c r="BX23" s="47">
        <f>(BT23/$BT$36)*100</f>
        <v>1.4704774101882268</v>
      </c>
      <c r="BY23" s="386">
        <f>$I$7*$I$45*12</f>
        <v>52560</v>
      </c>
      <c r="BZ23" s="460">
        <f>BY23/$I$7</f>
        <v>43.8</v>
      </c>
      <c r="CA23" s="464">
        <f>IF($I$14="no",BY23/(($I$7*$I$10)/100),BY23/$BY$1)</f>
        <v>0.20341439806880765</v>
      </c>
      <c r="CB23" s="47">
        <f>(BY23/$BY$13)*100</f>
        <v>1.2151779022141156</v>
      </c>
      <c r="CC23" s="47">
        <f>(BY23/$BY$36)*100</f>
        <v>1.4662878349307422</v>
      </c>
      <c r="CD23" s="386">
        <f>$I$7*$I$45*12</f>
        <v>52560</v>
      </c>
      <c r="CE23" s="460">
        <f>CD23/$I$7</f>
        <v>43.8</v>
      </c>
      <c r="CF23" s="464">
        <f>IF($I$14="no",CD23/(($I$7*$I$10)/100),CD23/$CD$1)</f>
        <v>0.20140039412753233</v>
      </c>
      <c r="CG23" s="47">
        <f>(CD23/$CD$13)*100</f>
        <v>1.203957871076355</v>
      </c>
      <c r="CH23" s="47">
        <f>(CD23/$CD$36)*100</f>
        <v>1.4620714876020255</v>
      </c>
      <c r="CI23" s="386">
        <f>$I$7*$I$45*12</f>
        <v>52560</v>
      </c>
      <c r="CJ23" s="460">
        <f>CI23/$I$7</f>
        <v>43.8</v>
      </c>
      <c r="CK23" s="464">
        <f>IF($I$14="no",CI23/(($I$7*$I$10)/100),CI23/$CI$1)</f>
        <v>0.19940633081933892</v>
      </c>
      <c r="CL23" s="47">
        <f>(CI23/$CI$13)*100</f>
        <v>1.1928340092544396</v>
      </c>
      <c r="CM23" s="47">
        <f>(CI23/$CI$36)*100</f>
        <v>1.4578284845496563</v>
      </c>
      <c r="CN23" s="386">
        <f>$I$7*$I$45*12</f>
        <v>52560</v>
      </c>
      <c r="CO23" s="460">
        <f>CN23/$I$7</f>
        <v>43.8</v>
      </c>
      <c r="CP23" s="464">
        <f>IF($I$14="no",CN23/(($I$7*$I$10)/100),CN23/$CN$1)</f>
        <v>0.19743201071221672</v>
      </c>
      <c r="CQ23" s="47">
        <f>(CN23/$CN$13)*100</f>
        <v>1.1818056292222068</v>
      </c>
      <c r="CR23" s="47">
        <f>(CN23/$CN$36)*100</f>
        <v>1.45355894676865</v>
      </c>
      <c r="CS23" s="29" t="s">
        <v>139</v>
      </c>
      <c r="CT23" s="386">
        <f>$I$7*$I$45*12</f>
        <v>52560</v>
      </c>
      <c r="CU23" s="460">
        <f>CT23/$I$7</f>
        <v>43.8</v>
      </c>
      <c r="CV23" s="464">
        <f>IF($I$14="no",CT23/(($I$7*$I$10)/100),CT23/$CT$1)</f>
        <v>0.19547723832892744</v>
      </c>
      <c r="CW23" s="47">
        <f>(CT23/$CT$13)*100</f>
        <v>1.1708720458331627</v>
      </c>
      <c r="CX23" s="47">
        <f>(CT23/$CT$36)*100</f>
        <v>1.4492629999158222</v>
      </c>
      <c r="CY23" s="386">
        <f>$I$7*$I$45*12</f>
        <v>52560</v>
      </c>
      <c r="CZ23" s="460">
        <f>CY23/$I$7</f>
        <v>43.8</v>
      </c>
      <c r="DA23" s="464">
        <f>IF($I$14="no",CY23/(($I$7*$I$10)/100),CY23/$CY$1)</f>
        <v>0.19354182012765095</v>
      </c>
      <c r="DB23" s="47">
        <f>(CY23/$CY$13)*100</f>
        <v>1.1600325763637303</v>
      </c>
      <c r="DC23" s="47">
        <f>(CY23/$CY$36)*100</f>
        <v>1.4449407743225906</v>
      </c>
      <c r="DD23" s="386">
        <f>$I$7*$I$45*12</f>
        <v>52560</v>
      </c>
      <c r="DE23" s="460">
        <f>DD23/$I$7</f>
        <v>43.8</v>
      </c>
      <c r="DF23" s="464">
        <f>IF($I$14="no",DD23/(($I$7*$I$10)/100),DD23/$DD$1)</f>
        <v>0.1916255644828227</v>
      </c>
      <c r="DG23" s="47">
        <f>(DD23/$DD$13)*100</f>
        <v>1.1492865405552615</v>
      </c>
      <c r="DH23" s="47">
        <f>(DD23/$DD$36)*100</f>
        <v>1.4405924050061953</v>
      </c>
      <c r="DI23" s="386">
        <f>$I$7*$I$45*12</f>
        <v>52560</v>
      </c>
      <c r="DJ23" s="460">
        <f>DI23/$I$7</f>
        <v>43.8</v>
      </c>
      <c r="DK23" s="464">
        <f>IF($I$14="no",DI23/(($I$7*$I$10)/100),DI23/$DI$1)</f>
        <v>0.18972828166616107</v>
      </c>
      <c r="DL23" s="47">
        <f>(DI23/$DI$13)*100</f>
        <v>1.138633260654825</v>
      </c>
      <c r="DM23" s="47">
        <f>(DI23/$DI$36)*100</f>
        <v>1.4362180316793127</v>
      </c>
      <c r="DN23" s="457">
        <f>$I$7*$I$45*12</f>
        <v>52560</v>
      </c>
      <c r="DO23" s="460">
        <f>DN23/$I$7</f>
        <v>43.8</v>
      </c>
      <c r="DP23" s="464">
        <f>IF($I$14="no",DN23/(($I$7*$I$10)/100),DN23/$DN$1)</f>
        <v>0.18784978382788226</v>
      </c>
      <c r="DQ23" s="47">
        <f>(DN23/$DN$13)*100</f>
        <v>1.1280720614547877</v>
      </c>
      <c r="DR23" s="50">
        <f>(DN23/$DN$36)*100</f>
        <v>1.4318177987580307</v>
      </c>
      <c r="DT23" s="62">
        <v>14</v>
      </c>
      <c r="DU23" s="107">
        <f t="shared" si="0"/>
        <v>60173.888469934864</v>
      </c>
      <c r="DV23" s="107">
        <f t="shared" si="1"/>
        <v>46342.45368267604</v>
      </c>
      <c r="DW23" s="107">
        <f t="shared" si="2"/>
        <v>106516.3421526109</v>
      </c>
      <c r="DX23" s="107">
        <f t="shared" si="3"/>
        <v>0</v>
      </c>
      <c r="DY23" s="107">
        <f t="shared" si="4"/>
        <v>0</v>
      </c>
      <c r="DZ23" s="107">
        <f t="shared" si="5"/>
        <v>0</v>
      </c>
      <c r="EA23" s="107">
        <f t="shared" si="6"/>
        <v>131994.17038942664</v>
      </c>
      <c r="EB23" s="107">
        <f t="shared" si="7"/>
        <v>101654.28698714581</v>
      </c>
      <c r="EC23" s="107">
        <f t="shared" si="8"/>
        <v>233648.45737657245</v>
      </c>
      <c r="ED23" s="107">
        <f t="shared" si="9"/>
        <v>0</v>
      </c>
      <c r="EE23" s="107">
        <f t="shared" si="10"/>
        <v>0</v>
      </c>
      <c r="EF23" s="79">
        <f t="shared" si="11"/>
        <v>0</v>
      </c>
      <c r="EH23" s="62">
        <v>14</v>
      </c>
      <c r="EI23" s="107">
        <v>0</v>
      </c>
      <c r="EJ23" s="107">
        <v>0</v>
      </c>
      <c r="EK23" s="107">
        <v>0</v>
      </c>
      <c r="EL23" s="107">
        <v>0</v>
      </c>
      <c r="EM23" s="107">
        <v>0</v>
      </c>
      <c r="EN23" s="107">
        <v>0</v>
      </c>
      <c r="EO23" s="107">
        <v>0</v>
      </c>
      <c r="EP23" s="107">
        <v>0</v>
      </c>
      <c r="EQ23" s="107">
        <v>0</v>
      </c>
      <c r="ER23" s="107">
        <v>0</v>
      </c>
      <c r="ES23" s="107">
        <v>0</v>
      </c>
      <c r="ET23" s="107">
        <v>0</v>
      </c>
      <c r="EU23" s="107">
        <v>0</v>
      </c>
      <c r="EV23" s="107">
        <v>0</v>
      </c>
      <c r="EW23" s="107">
        <v>0</v>
      </c>
      <c r="EX23" s="79">
        <v>0</v>
      </c>
      <c r="FH23" s="62">
        <v>14</v>
      </c>
      <c r="FI23" s="107" t="b">
        <f t="shared" si="12"/>
        <v>0</v>
      </c>
      <c r="FJ23" s="107">
        <f t="shared" si="13"/>
        <v>31022.4</v>
      </c>
      <c r="FK23" s="107" t="b">
        <f t="shared" si="14"/>
        <v>0</v>
      </c>
      <c r="FL23" s="107">
        <f t="shared" si="15"/>
        <v>0</v>
      </c>
      <c r="FM23" s="107">
        <f t="shared" si="16"/>
        <v>31022.4</v>
      </c>
      <c r="FN23" s="107">
        <v>0</v>
      </c>
      <c r="FO23" s="107">
        <v>0</v>
      </c>
      <c r="FP23" s="107">
        <f t="shared" si="19"/>
        <v>0</v>
      </c>
      <c r="FQ23" s="107">
        <v>0</v>
      </c>
      <c r="FR23" s="107">
        <v>0</v>
      </c>
      <c r="FS23" s="107">
        <f t="shared" si="20"/>
        <v>0</v>
      </c>
      <c r="FT23" s="107">
        <v>0</v>
      </c>
      <c r="FU23" s="107">
        <v>0</v>
      </c>
      <c r="FV23" s="107">
        <f t="shared" si="23"/>
        <v>0</v>
      </c>
      <c r="FW23" s="107">
        <v>0</v>
      </c>
      <c r="FX23" s="107">
        <v>0</v>
      </c>
      <c r="FY23" s="107">
        <v>0</v>
      </c>
      <c r="FZ23" s="107">
        <v>0</v>
      </c>
      <c r="GA23" s="107">
        <v>0</v>
      </c>
      <c r="GB23" s="107">
        <v>0</v>
      </c>
      <c r="GC23" s="107">
        <v>0</v>
      </c>
      <c r="GD23" s="107">
        <v>0</v>
      </c>
      <c r="GE23" s="107">
        <v>0</v>
      </c>
      <c r="GF23" s="107">
        <v>0</v>
      </c>
      <c r="GG23" s="107" t="b">
        <f>IF($H$124="yes",IF($I$124=5,SLN($EW$19,0,$I$124),0))</f>
        <v>0</v>
      </c>
      <c r="GH23" s="107">
        <f>IF($H$124="no",IF($I$124=5,SYD($EW$19,0,$I$124,$FH13),0))</f>
        <v>0</v>
      </c>
      <c r="GI23" s="107">
        <v>0</v>
      </c>
      <c r="GJ23" s="107">
        <v>0</v>
      </c>
      <c r="GK23" s="107">
        <v>0</v>
      </c>
      <c r="GL23" s="107">
        <v>0</v>
      </c>
      <c r="GM23" s="10">
        <f t="shared" si="24"/>
        <v>0</v>
      </c>
      <c r="GN23" s="107">
        <f>IF($H$126="yes",SLN(($EI$19+$EM$19+$EO$19+$EQ$19+$ES$19+$EU$19),0,10)+SLN(($EK$19),0,5),0)</f>
        <v>0</v>
      </c>
      <c r="GO23" s="107">
        <f>IF($H$126="no",SYD(($EI$19+$EM$19+$EO$19+$EQ$19+$ES$19+$EU$19),0,10,$FH13)+SYD(($EK$19),0,5,$FH13),0)</f>
        <v>43733.63636363636</v>
      </c>
      <c r="GP23" s="107">
        <f t="shared" si="26"/>
        <v>43733.63636363636</v>
      </c>
      <c r="GQ23" s="27">
        <f t="shared" si="25"/>
        <v>74756.03636363636</v>
      </c>
    </row>
    <row r="24" spans="1:199" ht="16.5" thickBot="1">
      <c r="A24" s="11" t="s">
        <v>63</v>
      </c>
      <c r="B24" s="421" t="s">
        <v>64</v>
      </c>
      <c r="C24" s="421" t="s">
        <v>65</v>
      </c>
      <c r="D24" s="374" t="s">
        <v>66</v>
      </c>
      <c r="E24" s="295" t="s">
        <v>66</v>
      </c>
      <c r="G24" s="394" t="s">
        <v>140</v>
      </c>
      <c r="H24" s="440"/>
      <c r="I24" s="500">
        <v>0.65</v>
      </c>
      <c r="J24" s="203"/>
      <c r="K24" s="30" t="s">
        <v>141</v>
      </c>
      <c r="L24" s="159">
        <f>$CD$61</f>
        <v>253772.6972268978</v>
      </c>
      <c r="M24" s="107">
        <f>$CD$63</f>
        <v>804.8702157057181</v>
      </c>
      <c r="N24" s="107">
        <f>$CD$64</f>
        <v>20392.099698924696</v>
      </c>
      <c r="O24" s="244">
        <f>$CD$65</f>
        <v>14.62758901749802</v>
      </c>
      <c r="P24" s="96">
        <f>IF($I$14="yes",CD$2,$I$10)</f>
        <v>21747.723081547014</v>
      </c>
      <c r="Q24" s="392">
        <f>$CD$4</f>
        <v>15.6</v>
      </c>
      <c r="R24" s="151"/>
      <c r="S24" s="29" t="s">
        <v>142</v>
      </c>
      <c r="T24" s="386">
        <f>$I$7*$I$47*$I$48</f>
        <v>23040</v>
      </c>
      <c r="U24" s="460">
        <f>T24/$I$7</f>
        <v>19.2</v>
      </c>
      <c r="V24" s="464">
        <f>IF($I$14="no",T24/(($I$7*$I$10)/100),T24/$T$1)</f>
        <v>0.09948186528497409</v>
      </c>
      <c r="W24" s="47">
        <f>(T24/$T$13)*100</f>
        <v>0.5896522932522049</v>
      </c>
      <c r="X24" s="47">
        <f>(T24/$T$36)*100</f>
        <v>0.6623028554868536</v>
      </c>
      <c r="Y24" s="386">
        <f>$I$7*$I$47*$I$48</f>
        <v>23040</v>
      </c>
      <c r="Z24" s="460">
        <f>Y24/$I$7</f>
        <v>19.2</v>
      </c>
      <c r="AA24" s="464">
        <f>IF($I$14="no",Y24/(($I$7*$I$10)/100),Y24/$Y$1)</f>
        <v>0.09849689632175652</v>
      </c>
      <c r="AB24" s="47">
        <f>(Y24/$Y$13)*100</f>
        <v>0.5842500340622334</v>
      </c>
      <c r="AC24" s="47">
        <f>(Y24/$Y$36)*100</f>
        <v>0.6605840594149303</v>
      </c>
      <c r="AD24" s="386">
        <f>$I$7*$I$47*$I$48</f>
        <v>23040</v>
      </c>
      <c r="AE24" s="460">
        <f>AD24/$I$7</f>
        <v>19.2</v>
      </c>
      <c r="AF24" s="464">
        <f>IF($I$14="no",AD24/(($I$7*$I$10)/100),AD24/$AD$1)</f>
        <v>0.09752167952649161</v>
      </c>
      <c r="AG24" s="47">
        <f>(AD24/$AD$13)*100</f>
        <v>0.5788933093389694</v>
      </c>
      <c r="AH24" s="47">
        <f>(AD24/$AD$36)*100</f>
        <v>0.6588531288460144</v>
      </c>
      <c r="AI24" s="386">
        <f>$I$7*$I$47*$I$48</f>
        <v>23040</v>
      </c>
      <c r="AJ24" s="460">
        <f>AI24/$I$7</f>
        <v>19.2</v>
      </c>
      <c r="AK24" s="464">
        <f>IF($I$14="no",AI24/(($I$7*$I$10)/100),AI24/$AI$1)</f>
        <v>0.09655611834306099</v>
      </c>
      <c r="AL24" s="47">
        <f>(AI24/$AI$13)*100</f>
        <v>0.5735818076404187</v>
      </c>
      <c r="AM24" s="47">
        <f>(AI24/$AI$36)*100</f>
        <v>0.6571100951492435</v>
      </c>
      <c r="AN24" s="386">
        <f>$I$7*$I$47*$I$48</f>
        <v>23040</v>
      </c>
      <c r="AO24" s="460">
        <f>AN24/$I$7</f>
        <v>19.2</v>
      </c>
      <c r="AP24" s="464">
        <f>IF($I$14="no",AN24/(($I$7*$I$10)/100),AN24/$AN$1)</f>
        <v>0.09560011717134752</v>
      </c>
      <c r="AQ24" s="47">
        <f>(AN24/$AN$13)*100</f>
        <v>0.5683152183212552</v>
      </c>
      <c r="AR24" s="47">
        <f>(AN24/$AN$36)*100</f>
        <v>0.6553549916350964</v>
      </c>
      <c r="AS24" s="29" t="s">
        <v>142</v>
      </c>
      <c r="AT24" s="386">
        <f>$I$7*$I$47*$I$48</f>
        <v>23040</v>
      </c>
      <c r="AU24" s="460">
        <f>AT24/$I$7</f>
        <v>19.2</v>
      </c>
      <c r="AV24" s="464">
        <f>IF($I$14="no",AT24/(($I$7*$I$10)/100),AT24/$AT$1)</f>
        <v>0.09465358135776983</v>
      </c>
      <c r="AW24" s="47">
        <f>(AT24/$AT$13)*100</f>
        <v>0.5630932315582341</v>
      </c>
      <c r="AX24" s="47">
        <f>(AT24/$AT$36)*100</f>
        <v>0.6535878535677404</v>
      </c>
      <c r="AY24" s="386">
        <f>$I$7*$I$47*$I$48</f>
        <v>23040</v>
      </c>
      <c r="AZ24" s="460">
        <f>AY24/$I$7</f>
        <v>19.2</v>
      </c>
      <c r="BA24" s="464">
        <f>IF($I$14="no",AY24/(($I$7*$I$10)/100),AY24/$AY$1)</f>
        <v>0.09371641718591073</v>
      </c>
      <c r="BB24" s="47">
        <f>(AY24/$AY$13)*100</f>
        <v>0.5579155383749813</v>
      </c>
      <c r="BC24" s="47">
        <f>(AY24/$AY$36)*100</f>
        <v>0.6518206357405044</v>
      </c>
      <c r="BD24" s="386">
        <f>$I$7*$I$47*$I$48</f>
        <v>23040</v>
      </c>
      <c r="BE24" s="460">
        <f>BD24/$I$7</f>
        <v>19.2</v>
      </c>
      <c r="BF24" s="464">
        <f>IF($I$14="no",BD24/(($I$7*$I$10)/100),BD24/$BD$1)</f>
        <v>0.09278853186723833</v>
      </c>
      <c r="BG24" s="47">
        <f>(BD24/$BD$13)*100</f>
        <v>0.5527818306661684</v>
      </c>
      <c r="BH24" s="47">
        <f>(BD24/$BD$36)*100</f>
        <v>0.6500315219396944</v>
      </c>
      <c r="BI24" s="386">
        <f>$I$7*$I$47*$I$48</f>
        <v>23040</v>
      </c>
      <c r="BJ24" s="460">
        <f>BI24/$I$7</f>
        <v>19.2</v>
      </c>
      <c r="BK24" s="464">
        <f>IF($I$14="no",BI24/(($I$7*$I$10)/100),BI24/$BI$1)</f>
        <v>0.09186983353191913</v>
      </c>
      <c r="BL24" s="47">
        <f>(BI24/$BI$13)*100</f>
        <v>0.547691801221078</v>
      </c>
      <c r="BM24" s="47">
        <f>(BI24/$BI$36)*100</f>
        <v>0.6482304886529499</v>
      </c>
      <c r="BN24" s="386">
        <f>$I$7*$I$47*$I$48</f>
        <v>23040</v>
      </c>
      <c r="BO24" s="460">
        <f>BN24/$I$7</f>
        <v>19.2</v>
      </c>
      <c r="BP24" s="464">
        <f>IF($I$14="no",BN24/(($I$7*$I$10)/100),BN24/$BN$1)</f>
        <v>0.09096023121972192</v>
      </c>
      <c r="BQ24" s="47">
        <f>(BN24/$BN$13)*100</f>
        <v>0.5426451437465687</v>
      </c>
      <c r="BR24" s="47">
        <f>(BN24/$BN$36)*100</f>
        <v>0.6464175788091837</v>
      </c>
      <c r="BS24" s="29" t="s">
        <v>142</v>
      </c>
      <c r="BT24" s="386">
        <f>$I$7*$I$47*$I$48</f>
        <v>23040</v>
      </c>
      <c r="BU24" s="460">
        <f>BT24/$I$7</f>
        <v>19.2</v>
      </c>
      <c r="BV24" s="464">
        <f>IF($I$14="no",BT24/(($I$7*$I$10)/100),BT24/$BT$1)</f>
        <v>0.09005963487101182</v>
      </c>
      <c r="BW24" s="47">
        <f>(BT24/$BT$13)*100</f>
        <v>0.5376415528894453</v>
      </c>
      <c r="BX24" s="47">
        <f>(BT24/$BT$36)*100</f>
        <v>0.6445928373427844</v>
      </c>
      <c r="BY24" s="386">
        <f>$I$7*$I$47*$I$48</f>
        <v>23040</v>
      </c>
      <c r="BZ24" s="460">
        <f>BY24/$I$7</f>
        <v>19.2</v>
      </c>
      <c r="CA24" s="464">
        <f>IF($I$14="no",BY24/(($I$7*$I$10)/100),BY24/$BY$1)</f>
        <v>0.08916795531783349</v>
      </c>
      <c r="CB24" s="47">
        <f>(BY24/$BY$13)*100</f>
        <v>0.5326807242582425</v>
      </c>
      <c r="CC24" s="47">
        <f>(BY24/$BY$36)*100</f>
        <v>0.6427563112025171</v>
      </c>
      <c r="CD24" s="386">
        <f>$I$7*$I$47*$I$48</f>
        <v>23040</v>
      </c>
      <c r="CE24" s="460">
        <f>CD24/$I$7</f>
        <v>19.2</v>
      </c>
      <c r="CF24" s="464">
        <f>IF($I$14="no",CD24/(($I$7*$I$10)/100),CD24/$CD$1)</f>
        <v>0.08828510427508265</v>
      </c>
      <c r="CG24" s="47">
        <f>(CD24/$CD$13)*100</f>
        <v>0.5277623544444296</v>
      </c>
      <c r="CH24" s="47">
        <f>(CD24/$CD$36)*100</f>
        <v>0.640908049359792</v>
      </c>
      <c r="CI24" s="386">
        <f>$I$7*$I$47*$I$48</f>
        <v>23040</v>
      </c>
      <c r="CJ24" s="460">
        <f>CI24/$I$7</f>
        <v>19.2</v>
      </c>
      <c r="CK24" s="464">
        <f>IF($I$14="no",CI24/(($I$7*$I$10)/100),CI24/$CI$1)</f>
        <v>0.08741099433176501</v>
      </c>
      <c r="CL24" s="47">
        <f>(CI24/$CI$13)*100</f>
        <v>0.5228861410430421</v>
      </c>
      <c r="CM24" s="47">
        <f>(CI24/$CI$36)*100</f>
        <v>0.6390481028162877</v>
      </c>
      <c r="CN24" s="386">
        <f>$I$7*$I$47*$I$48</f>
        <v>23040</v>
      </c>
      <c r="CO24" s="460">
        <f>CN24/$I$7</f>
        <v>19.2</v>
      </c>
      <c r="CP24" s="464">
        <f>IF($I$14="no",CN24/(($I$7*$I$10)/100),CN24/$CN$1)</f>
        <v>0.08654553894234157</v>
      </c>
      <c r="CQ24" s="47">
        <f>(CN24/$CN$13)*100</f>
        <v>0.5180517826727482</v>
      </c>
      <c r="CR24" s="47">
        <f>(CN24/$CN$36)*100</f>
        <v>0.6371765246109151</v>
      </c>
      <c r="CS24" s="29" t="s">
        <v>142</v>
      </c>
      <c r="CT24" s="386">
        <f>$I$7*$I$47*$I$48</f>
        <v>23040</v>
      </c>
      <c r="CU24" s="460">
        <f>CT24/$I$7</f>
        <v>19.2</v>
      </c>
      <c r="CV24" s="464">
        <f>IF($I$14="no",CT24/(($I$7*$I$10)/100),CT24/$CT$1)</f>
        <v>0.08568865241815998</v>
      </c>
      <c r="CW24" s="47">
        <f>(CT24/$CT$13)*100</f>
        <v>0.513258978995359</v>
      </c>
      <c r="CX24" s="47">
        <f>(CT24/$CT$36)*100</f>
        <v>0.6352933698261138</v>
      </c>
      <c r="CY24" s="386">
        <f>$I$7*$I$47*$I$48</f>
        <v>23040</v>
      </c>
      <c r="CZ24" s="460">
        <f>CY24/$I$7</f>
        <v>19.2</v>
      </c>
      <c r="DA24" s="464">
        <f>IF($I$14="no",CY24/(($I$7*$I$10)/100),CY24/$CY$1)</f>
        <v>0.08484024991897028</v>
      </c>
      <c r="DB24" s="47">
        <f>(CY24/$CY$13)*100</f>
        <v>0.5085074307347859</v>
      </c>
      <c r="DC24" s="47">
        <f>(CY24/$CY$36)*100</f>
        <v>0.6333986955934644</v>
      </c>
      <c r="DD24" s="386">
        <f>$I$7*$I$47*$I$48</f>
        <v>23040</v>
      </c>
      <c r="DE24" s="460">
        <f>DD24/$I$7</f>
        <v>19.2</v>
      </c>
      <c r="DF24" s="464">
        <f>IF($I$14="no",DD24/(($I$7*$I$10)/100),DD24/$DD$1)</f>
        <v>0.08400024744452501</v>
      </c>
      <c r="DG24" s="47">
        <f>(DD24/$DD$13)*100</f>
        <v>0.5037968396954571</v>
      </c>
      <c r="DH24" s="47">
        <f>(DD24/$DD$36)*100</f>
        <v>0.6314925610986061</v>
      </c>
      <c r="DI24" s="386">
        <f>$I$7*$I$47*$I$48</f>
        <v>23040</v>
      </c>
      <c r="DJ24" s="460">
        <f>DI24/$I$7</f>
        <v>19.2</v>
      </c>
      <c r="DK24" s="464">
        <f>IF($I$14="no",DI24/(($I$7*$I$10)/100),DI24/$DI$1)</f>
        <v>0.0831685618262624</v>
      </c>
      <c r="DL24" s="47">
        <f>(DI24/$DI$13)*100</f>
        <v>0.4991269087801973</v>
      </c>
      <c r="DM24" s="47">
        <f>(DI24/$DI$36)*100</f>
        <v>0.629575027585452</v>
      </c>
      <c r="DN24" s="457">
        <f>$I$7*$I$47*$I$48</f>
        <v>23040</v>
      </c>
      <c r="DO24" s="460">
        <f>DN24/$I$7</f>
        <v>19.2</v>
      </c>
      <c r="DP24" s="464">
        <f>IF($I$14="no",DN24/(($I$7*$I$10)/100),DN24/$DN$1)</f>
        <v>0.08234511071907168</v>
      </c>
      <c r="DQ24" s="47">
        <f>(DN24/$DN$13)*100</f>
        <v>0.49449734200757817</v>
      </c>
      <c r="DR24" s="50">
        <f>(DN24/$DN$36)*100</f>
        <v>0.6276461583596847</v>
      </c>
      <c r="DT24" s="62">
        <v>15</v>
      </c>
      <c r="DU24" s="107">
        <f t="shared" si="0"/>
        <v>65288.6689898793</v>
      </c>
      <c r="DV24" s="107">
        <f t="shared" si="1"/>
        <v>41227.673162731604</v>
      </c>
      <c r="DW24" s="107">
        <f t="shared" si="2"/>
        <v>106516.3421526109</v>
      </c>
      <c r="DX24" s="107">
        <f t="shared" si="3"/>
        <v>0</v>
      </c>
      <c r="DY24" s="107">
        <f t="shared" si="4"/>
        <v>0</v>
      </c>
      <c r="DZ24" s="107">
        <f t="shared" si="5"/>
        <v>0</v>
      </c>
      <c r="EA24" s="107">
        <f t="shared" si="6"/>
        <v>143213.67487252792</v>
      </c>
      <c r="EB24" s="107">
        <f t="shared" si="7"/>
        <v>90434.78250404453</v>
      </c>
      <c r="EC24" s="107">
        <f t="shared" si="8"/>
        <v>233648.45737657245</v>
      </c>
      <c r="ED24" s="107">
        <f t="shared" si="9"/>
        <v>0</v>
      </c>
      <c r="EE24" s="107">
        <f t="shared" si="10"/>
        <v>0</v>
      </c>
      <c r="EF24" s="79">
        <f t="shared" si="11"/>
        <v>0</v>
      </c>
      <c r="EH24" s="62">
        <v>15</v>
      </c>
      <c r="EI24" s="107">
        <v>0</v>
      </c>
      <c r="EJ24" s="107">
        <v>0</v>
      </c>
      <c r="EK24" s="107">
        <f>$E$47*$I$109</f>
        <v>48750</v>
      </c>
      <c r="EL24" s="107">
        <f>EK24/((1+$I$128)^$EH24)</f>
        <v>13383.72951401449</v>
      </c>
      <c r="EM24" s="107">
        <v>0</v>
      </c>
      <c r="EN24" s="107">
        <v>0</v>
      </c>
      <c r="EO24" s="107">
        <v>0</v>
      </c>
      <c r="EP24" s="107">
        <v>0</v>
      </c>
      <c r="EQ24" s="107">
        <v>0</v>
      </c>
      <c r="ER24" s="107">
        <v>0</v>
      </c>
      <c r="ES24" s="107">
        <v>0</v>
      </c>
      <c r="ET24" s="107">
        <v>0</v>
      </c>
      <c r="EU24" s="107">
        <v>0</v>
      </c>
      <c r="EV24" s="107">
        <v>0</v>
      </c>
      <c r="EW24" s="107">
        <f>$E$152*$I$115</f>
        <v>175275</v>
      </c>
      <c r="EX24" s="79">
        <f>EW24/((1+$I$128)^$EH24)</f>
        <v>48119.655191156715</v>
      </c>
      <c r="FH24" s="62">
        <v>15</v>
      </c>
      <c r="FI24" s="107" t="b">
        <f t="shared" si="12"/>
        <v>0</v>
      </c>
      <c r="FJ24" s="107">
        <f t="shared" si="13"/>
        <v>15511.2</v>
      </c>
      <c r="FK24" s="107" t="b">
        <f t="shared" si="14"/>
        <v>0</v>
      </c>
      <c r="FL24" s="107">
        <f t="shared" si="15"/>
        <v>0</v>
      </c>
      <c r="FM24" s="107">
        <f t="shared" si="16"/>
        <v>15511.2</v>
      </c>
      <c r="FN24" s="107">
        <v>0</v>
      </c>
      <c r="FO24" s="107">
        <v>0</v>
      </c>
      <c r="FP24" s="107">
        <f t="shared" si="19"/>
        <v>0</v>
      </c>
      <c r="FQ24" s="107">
        <v>0</v>
      </c>
      <c r="FR24" s="107">
        <v>0</v>
      </c>
      <c r="FS24" s="107">
        <f t="shared" si="20"/>
        <v>0</v>
      </c>
      <c r="FT24" s="107">
        <v>0</v>
      </c>
      <c r="FU24" s="107">
        <v>0</v>
      </c>
      <c r="FV24" s="107">
        <f t="shared" si="23"/>
        <v>0</v>
      </c>
      <c r="FW24" s="107">
        <v>0</v>
      </c>
      <c r="FX24" s="107">
        <v>0</v>
      </c>
      <c r="FY24" s="107">
        <v>0</v>
      </c>
      <c r="FZ24" s="107">
        <v>0</v>
      </c>
      <c r="GA24" s="107">
        <v>0</v>
      </c>
      <c r="GB24" s="107">
        <v>0</v>
      </c>
      <c r="GC24" s="107">
        <v>0</v>
      </c>
      <c r="GD24" s="107">
        <v>0</v>
      </c>
      <c r="GE24" s="107">
        <v>0</v>
      </c>
      <c r="GF24" s="107">
        <v>0</v>
      </c>
      <c r="GG24" s="107" t="b">
        <f>IF($H$124="yes",IF($I$124=5,SLN($EW$19,0,$I$124),0))</f>
        <v>0</v>
      </c>
      <c r="GH24" s="107">
        <f>IF($H$124="no",IF($I$124=5,SYD($EW$19,0,$I$124,$FH14),0))</f>
        <v>0</v>
      </c>
      <c r="GI24" s="107">
        <v>0</v>
      </c>
      <c r="GJ24" s="107">
        <v>0</v>
      </c>
      <c r="GK24" s="107">
        <v>0</v>
      </c>
      <c r="GL24" s="107">
        <v>0</v>
      </c>
      <c r="GM24" s="10">
        <f t="shared" si="24"/>
        <v>0</v>
      </c>
      <c r="GN24" s="107">
        <f>IF($H$126="yes",SLN(($EI$19+$EM$19+$EO$19+$EQ$19+$ES$19+$EU$19),0,10)+SLN(($EK$19),0,5),0)</f>
        <v>0</v>
      </c>
      <c r="GO24" s="107">
        <f>IF($H$126="no",SYD(($EI$19+$EM$19+$EO$19+$EQ$19+$ES$19+$EU$19),0,10,$FH14)+SYD(($EK$19),0,5,$FH14),0)</f>
        <v>35164.545454545456</v>
      </c>
      <c r="GP24" s="107">
        <f t="shared" si="26"/>
        <v>35164.545454545456</v>
      </c>
      <c r="GQ24" s="27">
        <f t="shared" si="25"/>
        <v>50675.74545454545</v>
      </c>
    </row>
    <row r="25" spans="1:199" ht="16.5" thickTop="1">
      <c r="A25" s="479">
        <v>10240</v>
      </c>
      <c r="B25" s="410" t="s">
        <v>143</v>
      </c>
      <c r="C25" s="411" t="s">
        <v>144</v>
      </c>
      <c r="D25" s="478">
        <v>20</v>
      </c>
      <c r="E25" s="367">
        <f>D25*A25</f>
        <v>204800</v>
      </c>
      <c r="G25" s="394" t="s">
        <v>145</v>
      </c>
      <c r="H25" s="440"/>
      <c r="I25" s="503">
        <v>65</v>
      </c>
      <c r="J25" s="203"/>
      <c r="K25" s="30" t="s">
        <v>146</v>
      </c>
      <c r="L25" s="159">
        <f>$CI$61</f>
        <v>284021.49660946336</v>
      </c>
      <c r="M25" s="107">
        <f>$CI$63</f>
        <v>774.4733876739949</v>
      </c>
      <c r="N25" s="107">
        <f>$CI$64</f>
        <v>20447.991462952956</v>
      </c>
      <c r="O25" s="244">
        <f>$CI$65</f>
        <v>14.522456535146302</v>
      </c>
      <c r="P25" s="96">
        <f>IF($I$14="yes",CI$2,$I$10)</f>
        <v>21965.200312362485</v>
      </c>
      <c r="Q25" s="392">
        <f>$CI$4</f>
        <v>15.6</v>
      </c>
      <c r="R25" s="151"/>
      <c r="S25" s="29" t="s">
        <v>147</v>
      </c>
      <c r="T25" s="386">
        <f>$I$7*$I$50*12</f>
        <v>15264</v>
      </c>
      <c r="U25" s="460">
        <f>T25/$I$7</f>
        <v>12.72</v>
      </c>
      <c r="V25" s="464">
        <f>IF($I$14="no",T25/(($I$7*$I$10)/100),T25/$T$1)</f>
        <v>0.06590673575129534</v>
      </c>
      <c r="W25" s="47">
        <f>(T25/$T$13)*100</f>
        <v>0.39064464427958584</v>
      </c>
      <c r="X25" s="47">
        <f>(T25/$T$36)*100</f>
        <v>0.4387756417600405</v>
      </c>
      <c r="Y25" s="386">
        <f>$I$7*$I$50*12</f>
        <v>15264</v>
      </c>
      <c r="Z25" s="460">
        <f>Y25/$I$7</f>
        <v>12.72</v>
      </c>
      <c r="AA25" s="464">
        <f>IF($I$14="no",Y25/(($I$7*$I$10)/100),Y25/$Y$1)</f>
        <v>0.0652541938131637</v>
      </c>
      <c r="AB25" s="47">
        <f>(Y25/$Y$13)*100</f>
        <v>0.38706564756622963</v>
      </c>
      <c r="AC25" s="47">
        <f>(Y25/$Y$36)*100</f>
        <v>0.4376369393623913</v>
      </c>
      <c r="AD25" s="386">
        <f>$I$7*$I$50*12</f>
        <v>15264</v>
      </c>
      <c r="AE25" s="460">
        <f>AD25/$I$7</f>
        <v>12.72</v>
      </c>
      <c r="AF25" s="464">
        <f>IF($I$14="no",AD25/(($I$7*$I$10)/100),AD25/$AD$1)</f>
        <v>0.06460811268630069</v>
      </c>
      <c r="AG25" s="47">
        <f>(AD25/$AD$13)*100</f>
        <v>0.38351681743706734</v>
      </c>
      <c r="AH25" s="47">
        <f>(AD25/$AD$36)*100</f>
        <v>0.43649019786048454</v>
      </c>
      <c r="AI25" s="386">
        <f>$I$7*$I$50*12</f>
        <v>15264</v>
      </c>
      <c r="AJ25" s="460">
        <f>AI25/$I$7</f>
        <v>12.72</v>
      </c>
      <c r="AK25" s="464">
        <f>IF($I$14="no",AI25/(($I$7*$I$10)/100),AI25/$AI$1)</f>
        <v>0.06396842840227791</v>
      </c>
      <c r="AL25" s="47">
        <f>(AI25/$AI$13)*100</f>
        <v>0.3799979475617774</v>
      </c>
      <c r="AM25" s="47">
        <f>(AI25/$AI$36)*100</f>
        <v>0.43533543803637376</v>
      </c>
      <c r="AN25" s="386">
        <f>$I$7*$I$50*12</f>
        <v>15264</v>
      </c>
      <c r="AO25" s="460">
        <f>AN25/$I$7</f>
        <v>12.72</v>
      </c>
      <c r="AP25" s="464">
        <f>IF($I$14="no",AN25/(($I$7*$I$10)/100),AN25/$AN$1)</f>
        <v>0.06333507762601773</v>
      </c>
      <c r="AQ25" s="47">
        <f>(AN25/$AN$13)*100</f>
        <v>0.37650883213783154</v>
      </c>
      <c r="AR25" s="47">
        <f>(AN25/$AN$36)*100</f>
        <v>0.43417268195825137</v>
      </c>
      <c r="AS25" s="29" t="s">
        <v>147</v>
      </c>
      <c r="AT25" s="386">
        <f>$I$7*$I$50*12</f>
        <v>15264</v>
      </c>
      <c r="AU25" s="460">
        <f>AT25/$I$7</f>
        <v>12.72</v>
      </c>
      <c r="AV25" s="464">
        <f>IF($I$14="no",AT25/(($I$7*$I$10)/100),AT25/$AT$1)</f>
        <v>0.0627079976495225</v>
      </c>
      <c r="AW25" s="47">
        <f>(AT25/$AT$13)*100</f>
        <v>0.37304926590733006</v>
      </c>
      <c r="AX25" s="47">
        <f>(AT25/$AT$36)*100</f>
        <v>0.433001952988628</v>
      </c>
      <c r="AY25" s="386">
        <f>$I$7*$I$50*12</f>
        <v>15264</v>
      </c>
      <c r="AZ25" s="460">
        <f>AY25/$I$7</f>
        <v>12.72</v>
      </c>
      <c r="BA25" s="464">
        <f>IF($I$14="no",AY25/(($I$7*$I$10)/100),AY25/$AY$1)</f>
        <v>0.06208712638566586</v>
      </c>
      <c r="BB25" s="47">
        <f>(AY25/$AY$13)*100</f>
        <v>0.3696190441734251</v>
      </c>
      <c r="BC25" s="47">
        <f>(AY25/$AY$36)*100</f>
        <v>0.43183117117808417</v>
      </c>
      <c r="BD25" s="386">
        <f>$I$7*$I$50*12</f>
        <v>15264</v>
      </c>
      <c r="BE25" s="460">
        <f>BD25/$I$7</f>
        <v>12.72</v>
      </c>
      <c r="BF25" s="464">
        <f>IF($I$14="no",BD25/(($I$7*$I$10)/100),BD25/$BD$1)</f>
        <v>0.061472402362045396</v>
      </c>
      <c r="BG25" s="47">
        <f>(BD25/$BD$13)*100</f>
        <v>0.3662179628163365</v>
      </c>
      <c r="BH25" s="47">
        <f>(BD25/$BD$36)*100</f>
        <v>0.4306458832850475</v>
      </c>
      <c r="BI25" s="386">
        <f>$I$7*$I$50*12</f>
        <v>15264</v>
      </c>
      <c r="BJ25" s="460">
        <f>BI25/$I$7</f>
        <v>12.72</v>
      </c>
      <c r="BK25" s="464">
        <f>IF($I$14="no",BI25/(($I$7*$I$10)/100),BI25/$BI$1)</f>
        <v>0.06086376471489643</v>
      </c>
      <c r="BL25" s="47">
        <f>(BI25/$BI$13)*100</f>
        <v>0.3628458183089642</v>
      </c>
      <c r="BM25" s="47">
        <f>(BI25/$BI$36)*100</f>
        <v>0.42945269873257924</v>
      </c>
      <c r="BN25" s="386">
        <f>$I$7*$I$50*12</f>
        <v>15264</v>
      </c>
      <c r="BO25" s="460">
        <f>BN25/$I$7</f>
        <v>12.72</v>
      </c>
      <c r="BP25" s="464">
        <f>IF($I$14="no",BN25/(($I$7*$I$10)/100),BN25/$BN$1)</f>
        <v>0.060261153183065776</v>
      </c>
      <c r="BQ25" s="47">
        <f>(BN25/$BN$13)*100</f>
        <v>0.3595024077321018</v>
      </c>
      <c r="BR25" s="47">
        <f>(BN25/$BN$36)*100</f>
        <v>0.42825164596108417</v>
      </c>
      <c r="BS25" s="29" t="s">
        <v>147</v>
      </c>
      <c r="BT25" s="386">
        <f>$I$7*$I$50*12</f>
        <v>15264</v>
      </c>
      <c r="BU25" s="460">
        <f>BT25/$I$7</f>
        <v>12.72</v>
      </c>
      <c r="BV25" s="464">
        <f>IF($I$14="no",BT25/(($I$7*$I$10)/100),BT25/$BT$1)</f>
        <v>0.05966450810204533</v>
      </c>
      <c r="BW25" s="47">
        <f>(BT25/$BT$13)*100</f>
        <v>0.35618752878925747</v>
      </c>
      <c r="BX25" s="47">
        <f>(BT25/$BT$36)*100</f>
        <v>0.42704275473959463</v>
      </c>
      <c r="BY25" s="386">
        <f>$I$7*$I$50*12</f>
        <v>15264</v>
      </c>
      <c r="BZ25" s="460">
        <f>BY25/$I$7</f>
        <v>12.72</v>
      </c>
      <c r="CA25" s="464">
        <f>IF($I$14="no",BY25/(($I$7*$I$10)/100),BY25/$BY$1)</f>
        <v>0.05907377039806469</v>
      </c>
      <c r="CB25" s="47">
        <f>(BY25/$BY$13)*100</f>
        <v>0.35290097982108565</v>
      </c>
      <c r="CC25" s="47">
        <f>(BY25/$BY$36)*100</f>
        <v>0.4258260561716676</v>
      </c>
      <c r="CD25" s="386">
        <f>$I$7*$I$50*12</f>
        <v>15264</v>
      </c>
      <c r="CE25" s="460">
        <f>CD25/$I$7</f>
        <v>12.72</v>
      </c>
      <c r="CF25" s="464">
        <f>IF($I$14="no",CD25/(($I$7*$I$10)/100),CD25/$CD$1)</f>
        <v>0.05848888158224226</v>
      </c>
      <c r="CG25" s="47">
        <f>(CD25/$CD$13)*100</f>
        <v>0.3496425598194346</v>
      </c>
      <c r="CH25" s="47">
        <f>(CD25/$CD$36)*100</f>
        <v>0.4246015827008622</v>
      </c>
      <c r="CI25" s="386">
        <f>$I$7*$I$50*12</f>
        <v>15264</v>
      </c>
      <c r="CJ25" s="460">
        <f>CI25/$I$7</f>
        <v>12.72</v>
      </c>
      <c r="CK25" s="464">
        <f>IF($I$14="no",CI25/(($I$7*$I$10)/100),CI25/$CI$1)</f>
        <v>0.057909783744794316</v>
      </c>
      <c r="CL25" s="47">
        <f>(CI25/$CI$13)*100</f>
        <v>0.34641206844101535</v>
      </c>
      <c r="CM25" s="47">
        <f>(CI25/$CI$36)*100</f>
        <v>0.42336936811579057</v>
      </c>
      <c r="CN25" s="386">
        <f>$I$7*$I$50*12</f>
        <v>15264</v>
      </c>
      <c r="CO25" s="460">
        <f>CN25/$I$7</f>
        <v>12.72</v>
      </c>
      <c r="CP25" s="464">
        <f>IF($I$14="no",CN25/(($I$7*$I$10)/100),CN25/$CN$1)</f>
        <v>0.05733641954930129</v>
      </c>
      <c r="CQ25" s="47">
        <f>(CN25/$CN$13)*100</f>
        <v>0.34320930602069566</v>
      </c>
      <c r="CR25" s="47">
        <f>(CN25/$CN$36)*100</f>
        <v>0.4221294475547312</v>
      </c>
      <c r="CS25" s="29" t="s">
        <v>147</v>
      </c>
      <c r="CT25" s="386">
        <f>$I$7*$I$50*12</f>
        <v>15264</v>
      </c>
      <c r="CU25" s="460">
        <f>CT25/$I$7</f>
        <v>12.72</v>
      </c>
      <c r="CV25" s="464">
        <f>IF($I$14="no",CT25/(($I$7*$I$10)/100),CT25/$CT$1)</f>
        <v>0.05676873222703099</v>
      </c>
      <c r="CW25" s="47">
        <f>(CT25/$CT$13)*100</f>
        <v>0.3400340735844254</v>
      </c>
      <c r="CX25" s="47">
        <f>(CT25/$CT$36)*100</f>
        <v>0.42088185750980045</v>
      </c>
      <c r="CY25" s="386">
        <f>$I$7*$I$50*12</f>
        <v>15264</v>
      </c>
      <c r="CZ25" s="460">
        <f>CY25/$I$7</f>
        <v>12.72</v>
      </c>
      <c r="DA25" s="464">
        <f>IF($I$14="no",CY25/(($I$7*$I$10)/100),CY25/$CY$1)</f>
        <v>0.05620666557131781</v>
      </c>
      <c r="DB25" s="47">
        <f>(CY25/$CY$13)*100</f>
        <v>0.3368861728617956</v>
      </c>
      <c r="DC25" s="47">
        <f>(CY25/$CY$36)*100</f>
        <v>0.41962663583067006</v>
      </c>
      <c r="DD25" s="386">
        <f>$I$7*$I$50*12</f>
        <v>15264</v>
      </c>
      <c r="DE25" s="460">
        <f>DD25/$I$7</f>
        <v>12.72</v>
      </c>
      <c r="DF25" s="464">
        <f>IF($I$14="no",DD25/(($I$7*$I$10)/100),DD25/$DD$1)</f>
        <v>0.05565016393199782</v>
      </c>
      <c r="DG25" s="47">
        <f>(DD25/$DD$13)*100</f>
        <v>0.3337654062982403</v>
      </c>
      <c r="DH25" s="47">
        <f>(DD25/$DD$36)*100</f>
        <v>0.41836382172782655</v>
      </c>
      <c r="DI25" s="386">
        <f>$I$7*$I$50*12</f>
        <v>15264</v>
      </c>
      <c r="DJ25" s="460">
        <f>DI25/$I$7</f>
        <v>12.72</v>
      </c>
      <c r="DK25" s="464">
        <f>IF($I$14="no",DI25/(($I$7*$I$10)/100),DI25/$DI$1)</f>
        <v>0.055099172209898836</v>
      </c>
      <c r="DL25" s="47">
        <f>(DI25/$DI$13)*100</f>
        <v>0.33067157706688066</v>
      </c>
      <c r="DM25" s="47">
        <f>(DI25/$DI$36)*100</f>
        <v>0.41709345577536205</v>
      </c>
      <c r="DN25" s="457">
        <f>$I$7*$I$50*12</f>
        <v>15264</v>
      </c>
      <c r="DO25" s="460">
        <f>DN25/$I$7</f>
        <v>12.72</v>
      </c>
      <c r="DP25" s="464">
        <f>IF($I$14="no",DN25/(($I$7*$I$10)/100),DN25/$DN$1)</f>
        <v>0.054553635851384986</v>
      </c>
      <c r="DQ25" s="47">
        <f>(DN25/$DN$13)*100</f>
        <v>0.32760448908002054</v>
      </c>
      <c r="DR25" s="50">
        <f>(DN25/$DN$36)*100</f>
        <v>0.4158155799132911</v>
      </c>
      <c r="DT25" s="62">
        <v>16</v>
      </c>
      <c r="DU25" s="107">
        <f t="shared" si="0"/>
        <v>70838.20585401906</v>
      </c>
      <c r="DV25" s="107">
        <f t="shared" si="1"/>
        <v>35678.136298591846</v>
      </c>
      <c r="DW25" s="107">
        <f t="shared" si="2"/>
        <v>106516.34215261092</v>
      </c>
      <c r="DX25" s="107">
        <f t="shared" si="3"/>
        <v>0</v>
      </c>
      <c r="DY25" s="107">
        <f t="shared" si="4"/>
        <v>0</v>
      </c>
      <c r="DZ25" s="107">
        <f t="shared" si="5"/>
        <v>0</v>
      </c>
      <c r="EA25" s="107">
        <f t="shared" si="6"/>
        <v>155386.83723669278</v>
      </c>
      <c r="EB25" s="107">
        <f t="shared" si="7"/>
        <v>78261.62013987967</v>
      </c>
      <c r="EC25" s="107">
        <f t="shared" si="8"/>
        <v>233648.45737657245</v>
      </c>
      <c r="ED25" s="107">
        <f t="shared" si="9"/>
        <v>0</v>
      </c>
      <c r="EE25" s="107">
        <f t="shared" si="10"/>
        <v>0</v>
      </c>
      <c r="EF25" s="79">
        <f t="shared" si="11"/>
        <v>0</v>
      </c>
      <c r="EH25" s="62">
        <v>16</v>
      </c>
      <c r="EI25" s="107">
        <v>0</v>
      </c>
      <c r="EJ25" s="107">
        <v>0</v>
      </c>
      <c r="EK25" s="107">
        <v>0</v>
      </c>
      <c r="EL25" s="107">
        <v>0</v>
      </c>
      <c r="EM25" s="107">
        <v>0</v>
      </c>
      <c r="EN25" s="107">
        <v>0</v>
      </c>
      <c r="EO25" s="107">
        <v>0</v>
      </c>
      <c r="EP25" s="107">
        <v>0</v>
      </c>
      <c r="EQ25" s="107">
        <v>0</v>
      </c>
      <c r="ER25" s="107">
        <v>0</v>
      </c>
      <c r="ES25" s="107">
        <v>0</v>
      </c>
      <c r="ET25" s="107">
        <v>0</v>
      </c>
      <c r="EU25" s="107">
        <v>0</v>
      </c>
      <c r="EV25" s="107">
        <v>0</v>
      </c>
      <c r="EW25" s="107">
        <v>0</v>
      </c>
      <c r="EX25" s="79">
        <v>0</v>
      </c>
      <c r="FH25" s="62">
        <v>16</v>
      </c>
      <c r="FI25" s="107">
        <v>0</v>
      </c>
      <c r="FJ25" s="107">
        <v>0</v>
      </c>
      <c r="FK25" s="107" t="b">
        <f t="shared" si="14"/>
        <v>0</v>
      </c>
      <c r="FL25" s="107">
        <f t="shared" si="15"/>
        <v>0</v>
      </c>
      <c r="FM25" s="107">
        <f t="shared" si="16"/>
        <v>0</v>
      </c>
      <c r="FN25" s="107">
        <v>0</v>
      </c>
      <c r="FO25" s="107">
        <v>0</v>
      </c>
      <c r="FP25" s="107">
        <f t="shared" si="19"/>
        <v>0</v>
      </c>
      <c r="FQ25" s="107">
        <v>0</v>
      </c>
      <c r="FR25" s="107">
        <v>0</v>
      </c>
      <c r="FS25" s="107">
        <f t="shared" si="20"/>
        <v>0</v>
      </c>
      <c r="FT25" s="107">
        <v>0</v>
      </c>
      <c r="FU25" s="107">
        <v>0</v>
      </c>
      <c r="FV25" s="107">
        <f t="shared" si="23"/>
        <v>0</v>
      </c>
      <c r="FW25" s="107">
        <v>0</v>
      </c>
      <c r="FX25" s="107">
        <v>0</v>
      </c>
      <c r="FY25" s="107">
        <v>0</v>
      </c>
      <c r="FZ25" s="107">
        <v>0</v>
      </c>
      <c r="GA25" s="107">
        <v>0</v>
      </c>
      <c r="GB25" s="107">
        <v>0</v>
      </c>
      <c r="GC25" s="107">
        <v>0</v>
      </c>
      <c r="GD25" s="107">
        <v>0</v>
      </c>
      <c r="GE25" s="107">
        <v>0</v>
      </c>
      <c r="GF25" s="107">
        <v>0</v>
      </c>
      <c r="GG25" s="107">
        <v>0</v>
      </c>
      <c r="GH25" s="107">
        <v>0</v>
      </c>
      <c r="GI25" s="107" t="b">
        <f>IF($H$124="yes",IF($I$124=3,SLN($EW$24,0,$I$124),0))</f>
        <v>0</v>
      </c>
      <c r="GJ25" s="107">
        <f>IF($H$124="no",IF($I$124=3,SYD($EW$24,0,$I$124,$FH10),0))</f>
        <v>87637.5</v>
      </c>
      <c r="GK25" s="107" t="b">
        <f>IF($H$124="yes",IF($I$124=5,SLN($EW$24,0,$I$124),0))</f>
        <v>0</v>
      </c>
      <c r="GL25" s="107">
        <f>IF($H$124="no",IF($I$124=5,SYD($EW$24,0,$I$124,$FH10),0))</f>
        <v>0</v>
      </c>
      <c r="GM25" s="10">
        <f t="shared" si="24"/>
        <v>87637.5</v>
      </c>
      <c r="GN25" s="107">
        <f>IF($H$126="yes",SLN(($EI$19+$EM$19+$EO$19+$EQ$19+$ES$19+$EU$19),0,10)+SLN(($EK$24),0,5),0)</f>
        <v>0</v>
      </c>
      <c r="GO25" s="107">
        <f>IF($H$126="no",SYD(($EI$19+$EM$19+$EO$19+$EQ$19+$ES$19+$EU$19),0,10,$FH15)+SYD(($EK$24),0,5,$FH10),0)</f>
        <v>42845.454545454544</v>
      </c>
      <c r="GP25" s="107">
        <f t="shared" si="26"/>
        <v>42845.454545454544</v>
      </c>
      <c r="GQ25" s="27">
        <f t="shared" si="25"/>
        <v>130482.95454545454</v>
      </c>
    </row>
    <row r="26" spans="1:199" ht="16.5" thickBot="1">
      <c r="A26" s="361"/>
      <c r="B26" s="412" t="s">
        <v>148</v>
      </c>
      <c r="C26" s="413"/>
      <c r="D26" s="124"/>
      <c r="E26" s="458"/>
      <c r="G26" s="395" t="s">
        <v>149</v>
      </c>
      <c r="H26" s="527">
        <f>I25*I26</f>
        <v>104</v>
      </c>
      <c r="I26" s="504">
        <v>1.6</v>
      </c>
      <c r="J26" s="203"/>
      <c r="K26" s="30" t="s">
        <v>150</v>
      </c>
      <c r="L26" s="159">
        <f>$CN$61</f>
        <v>314550.3228898458</v>
      </c>
      <c r="M26" s="107">
        <f>$CN$63</f>
        <v>746.0376107537535</v>
      </c>
      <c r="N26" s="107">
        <f>$CN$64</f>
        <v>20504.562129108734</v>
      </c>
      <c r="O26" s="244">
        <f>$CN$65</f>
        <v>14.418449339453591</v>
      </c>
      <c r="P26" s="96">
        <f>IF($I$14="yes",CN$2,$I$10)</f>
        <v>22184.85231548611</v>
      </c>
      <c r="Q26" s="392">
        <f>$CN$4</f>
        <v>15.6</v>
      </c>
      <c r="R26" s="151"/>
      <c r="S26" s="42" t="s">
        <v>151</v>
      </c>
      <c r="T26" s="386"/>
      <c r="U26" s="460"/>
      <c r="V26" s="464"/>
      <c r="W26" s="34"/>
      <c r="X26" s="34"/>
      <c r="Y26" s="460"/>
      <c r="Z26" s="460"/>
      <c r="AA26" s="464"/>
      <c r="AB26" s="34"/>
      <c r="AC26" s="34"/>
      <c r="AD26" s="463"/>
      <c r="AE26" s="460"/>
      <c r="AF26" s="464"/>
      <c r="AG26" s="34"/>
      <c r="AH26" s="34"/>
      <c r="AI26" s="460"/>
      <c r="AJ26" s="460"/>
      <c r="AK26" s="464"/>
      <c r="AL26" s="34"/>
      <c r="AM26" s="34"/>
      <c r="AN26" s="460"/>
      <c r="AO26" s="460"/>
      <c r="AP26" s="464"/>
      <c r="AQ26" s="34"/>
      <c r="AR26" s="34"/>
      <c r="AS26" s="42" t="s">
        <v>151</v>
      </c>
      <c r="AT26" s="386"/>
      <c r="AU26" s="460"/>
      <c r="AV26" s="464"/>
      <c r="AW26" s="34"/>
      <c r="AX26" s="34"/>
      <c r="AY26" s="460"/>
      <c r="AZ26" s="460"/>
      <c r="BA26" s="464"/>
      <c r="BB26" s="34"/>
      <c r="BC26" s="34"/>
      <c r="BD26" s="463"/>
      <c r="BE26" s="460"/>
      <c r="BF26" s="464"/>
      <c r="BG26" s="34"/>
      <c r="BH26" s="34"/>
      <c r="BI26" s="460"/>
      <c r="BJ26" s="460"/>
      <c r="BK26" s="464"/>
      <c r="BL26" s="34"/>
      <c r="BM26" s="34"/>
      <c r="BN26" s="460"/>
      <c r="BO26" s="460"/>
      <c r="BP26" s="464"/>
      <c r="BQ26" s="34"/>
      <c r="BR26" s="34"/>
      <c r="BS26" s="42" t="s">
        <v>151</v>
      </c>
      <c r="BT26" s="386"/>
      <c r="BU26" s="460"/>
      <c r="BV26" s="464"/>
      <c r="BW26" s="34"/>
      <c r="BX26" s="34"/>
      <c r="BY26" s="460"/>
      <c r="BZ26" s="460"/>
      <c r="CA26" s="464"/>
      <c r="CB26" s="34"/>
      <c r="CC26" s="34"/>
      <c r="CD26" s="463"/>
      <c r="CE26" s="460"/>
      <c r="CF26" s="464"/>
      <c r="CG26" s="34"/>
      <c r="CH26" s="34"/>
      <c r="CI26" s="460"/>
      <c r="CJ26" s="460"/>
      <c r="CK26" s="464"/>
      <c r="CL26" s="34"/>
      <c r="CM26" s="34"/>
      <c r="CN26" s="460"/>
      <c r="CO26" s="460"/>
      <c r="CP26" s="464"/>
      <c r="CQ26" s="34"/>
      <c r="CR26" s="34"/>
      <c r="CS26" s="42" t="s">
        <v>151</v>
      </c>
      <c r="CT26" s="386"/>
      <c r="CU26" s="460"/>
      <c r="CV26" s="464"/>
      <c r="CW26" s="34"/>
      <c r="CX26" s="34"/>
      <c r="CY26" s="460"/>
      <c r="CZ26" s="460"/>
      <c r="DA26" s="464"/>
      <c r="DB26" s="34"/>
      <c r="DC26" s="34"/>
      <c r="DD26" s="463"/>
      <c r="DE26" s="460"/>
      <c r="DF26" s="464"/>
      <c r="DG26" s="34"/>
      <c r="DH26" s="34"/>
      <c r="DI26" s="460"/>
      <c r="DJ26" s="460"/>
      <c r="DK26" s="464"/>
      <c r="DL26" s="34"/>
      <c r="DM26" s="34"/>
      <c r="DN26" s="461"/>
      <c r="DO26" s="460"/>
      <c r="DP26" s="464"/>
      <c r="DQ26" s="34"/>
      <c r="DR26" s="78"/>
      <c r="DT26" s="62">
        <v>17</v>
      </c>
      <c r="DU26" s="107">
        <f t="shared" si="0"/>
        <v>76859.45335161069</v>
      </c>
      <c r="DV26" s="107">
        <f t="shared" si="1"/>
        <v>29656.888801000216</v>
      </c>
      <c r="DW26" s="107">
        <f t="shared" si="2"/>
        <v>106516.3421526109</v>
      </c>
      <c r="DX26" s="107">
        <f t="shared" si="3"/>
        <v>0</v>
      </c>
      <c r="DY26" s="107">
        <f t="shared" si="4"/>
        <v>0</v>
      </c>
      <c r="DZ26" s="107">
        <f t="shared" si="5"/>
        <v>0</v>
      </c>
      <c r="EA26" s="107">
        <f t="shared" si="6"/>
        <v>168594.7184018116</v>
      </c>
      <c r="EB26" s="107">
        <f t="shared" si="7"/>
        <v>65053.738974760825</v>
      </c>
      <c r="EC26" s="107">
        <f t="shared" si="8"/>
        <v>233648.45737657242</v>
      </c>
      <c r="ED26" s="107">
        <f t="shared" si="9"/>
        <v>0</v>
      </c>
      <c r="EE26" s="107">
        <f t="shared" si="10"/>
        <v>0</v>
      </c>
      <c r="EF26" s="79">
        <f t="shared" si="11"/>
        <v>0</v>
      </c>
      <c r="EH26" s="62">
        <v>17</v>
      </c>
      <c r="EI26" s="107">
        <v>0</v>
      </c>
      <c r="EJ26" s="107">
        <v>0</v>
      </c>
      <c r="EK26" s="107">
        <v>0</v>
      </c>
      <c r="EL26" s="107">
        <v>0</v>
      </c>
      <c r="EM26" s="107">
        <v>0</v>
      </c>
      <c r="EN26" s="107">
        <v>0</v>
      </c>
      <c r="EO26" s="107">
        <v>0</v>
      </c>
      <c r="EP26" s="107">
        <v>0</v>
      </c>
      <c r="EQ26" s="107">
        <v>0</v>
      </c>
      <c r="ER26" s="107">
        <v>0</v>
      </c>
      <c r="ES26" s="107">
        <v>0</v>
      </c>
      <c r="ET26" s="107">
        <v>0</v>
      </c>
      <c r="EU26" s="107">
        <v>0</v>
      </c>
      <c r="EV26" s="107">
        <v>0</v>
      </c>
      <c r="EW26" s="107">
        <v>0</v>
      </c>
      <c r="EX26" s="79">
        <v>0</v>
      </c>
      <c r="FH26" s="62">
        <v>17</v>
      </c>
      <c r="FI26" s="107">
        <v>0</v>
      </c>
      <c r="FJ26" s="107">
        <v>0</v>
      </c>
      <c r="FK26" s="107" t="b">
        <f t="shared" si="14"/>
        <v>0</v>
      </c>
      <c r="FL26" s="107">
        <f t="shared" si="15"/>
        <v>0</v>
      </c>
      <c r="FM26" s="107">
        <f t="shared" si="16"/>
        <v>0</v>
      </c>
      <c r="FN26" s="107">
        <v>0</v>
      </c>
      <c r="FO26" s="107">
        <v>0</v>
      </c>
      <c r="FP26" s="107">
        <f t="shared" si="19"/>
        <v>0</v>
      </c>
      <c r="FQ26" s="107">
        <v>0</v>
      </c>
      <c r="FR26" s="107">
        <v>0</v>
      </c>
      <c r="FS26" s="107">
        <f t="shared" si="20"/>
        <v>0</v>
      </c>
      <c r="FT26" s="107">
        <v>0</v>
      </c>
      <c r="FU26" s="107">
        <v>0</v>
      </c>
      <c r="FV26" s="107">
        <f t="shared" si="23"/>
        <v>0</v>
      </c>
      <c r="FW26" s="107">
        <v>0</v>
      </c>
      <c r="FX26" s="107">
        <v>0</v>
      </c>
      <c r="FY26" s="107">
        <v>0</v>
      </c>
      <c r="FZ26" s="107">
        <v>0</v>
      </c>
      <c r="GA26" s="107">
        <v>0</v>
      </c>
      <c r="GB26" s="107">
        <v>0</v>
      </c>
      <c r="GC26" s="107">
        <v>0</v>
      </c>
      <c r="GD26" s="107">
        <v>0</v>
      </c>
      <c r="GE26" s="107">
        <v>0</v>
      </c>
      <c r="GF26" s="107">
        <v>0</v>
      </c>
      <c r="GG26" s="107">
        <v>0</v>
      </c>
      <c r="GH26" s="107">
        <v>0</v>
      </c>
      <c r="GI26" s="107" t="b">
        <f>IF($H$124="yes",IF($I$124=3,SLN($EW$24,0,$I$124),0))</f>
        <v>0</v>
      </c>
      <c r="GJ26" s="107">
        <f>IF($H$124="no",IF($I$124=3,SYD($EW$24,0,$I$124,$FH11),0))</f>
        <v>58425</v>
      </c>
      <c r="GK26" s="107" t="b">
        <f>IF($H$124="yes",IF($I$124=5,SLN($EW$24,0,$I$124),0))</f>
        <v>0</v>
      </c>
      <c r="GL26" s="107">
        <f>IF($H$124="no",IF($I$124=5,SYD($EW$24,0,$I$124,$FH11),0))</f>
        <v>0</v>
      </c>
      <c r="GM26" s="10">
        <f t="shared" si="24"/>
        <v>58425</v>
      </c>
      <c r="GN26" s="107">
        <f>IF($H$126="yes",SLN(($EI$19+$EM$19+$EO$19+$EQ$19+$ES$19+$EU$19),0,10)+SLN(($EK$24),0,5),0)</f>
        <v>0</v>
      </c>
      <c r="GO26" s="107">
        <f>IF($H$126="no",SYD(($EI$19+$EM$19+$EO$19+$EQ$19+$ES$19+$EU$19),0,10,$FH16)+SYD(($EK$24),0,5,$FH11),0)</f>
        <v>34276.36363636363</v>
      </c>
      <c r="GP26" s="107">
        <f t="shared" si="26"/>
        <v>34276.36363636363</v>
      </c>
      <c r="GQ26" s="27">
        <f t="shared" si="25"/>
        <v>92701.36363636363</v>
      </c>
    </row>
    <row r="27" spans="1:199" ht="17.25" thickBot="1" thickTop="1">
      <c r="A27" s="480">
        <v>2250</v>
      </c>
      <c r="B27" s="412" t="s">
        <v>152</v>
      </c>
      <c r="C27" s="413" t="s">
        <v>144</v>
      </c>
      <c r="D27" s="482">
        <v>24</v>
      </c>
      <c r="E27" s="458">
        <f>A27*D27</f>
        <v>54000</v>
      </c>
      <c r="G27" s="54" t="s">
        <v>153</v>
      </c>
      <c r="H27" s="439"/>
      <c r="I27" s="130"/>
      <c r="J27" s="203"/>
      <c r="K27" s="30" t="s">
        <v>154</v>
      </c>
      <c r="L27" s="159">
        <f>$CT$61</f>
        <v>345361.85677805543</v>
      </c>
      <c r="M27" s="107">
        <f>$CT$63</f>
        <v>719.3800622488963</v>
      </c>
      <c r="N27" s="107">
        <f>$CT$64</f>
        <v>20561.81912508298</v>
      </c>
      <c r="O27" s="244">
        <f>$CT$65</f>
        <v>14.315555898266268</v>
      </c>
      <c r="P27" s="96">
        <f>IF($I$14="yes",CT$2,$I$10)</f>
        <v>22406.700838640973</v>
      </c>
      <c r="Q27" s="392">
        <f>$CT$4</f>
        <v>15.6</v>
      </c>
      <c r="R27" s="152"/>
      <c r="S27" s="29" t="s">
        <v>155</v>
      </c>
      <c r="T27" s="386">
        <f>T1*$I$52</f>
        <v>132012</v>
      </c>
      <c r="U27" s="460">
        <f>T27/$I$7</f>
        <v>110.01</v>
      </c>
      <c r="V27" s="464">
        <f>IF($I$14="no",T27/(($I$7*$I$10)/100),T27/$T$1)</f>
        <v>0.57</v>
      </c>
      <c r="W27" s="47">
        <f>(T27/$T$13)*100</f>
        <v>3.378523373993493</v>
      </c>
      <c r="X27" s="47">
        <f>(T27/$T$36)*100</f>
        <v>3.7947883922973316</v>
      </c>
      <c r="Y27" s="386">
        <f>Y1*$I$52</f>
        <v>133332.12</v>
      </c>
      <c r="Z27" s="460">
        <f>Y27/$I$7</f>
        <v>111.1101</v>
      </c>
      <c r="AA27" s="464">
        <f>IF($I$14="no",Y27/(($I$7*$I$10)/100),Y27/$Y$1)</f>
        <v>0.57</v>
      </c>
      <c r="AB27" s="47">
        <f>(Y27/$Y$13)*100</f>
        <v>3.3810458182113625</v>
      </c>
      <c r="AC27" s="47">
        <f>(Y27/$Y$36)*100</f>
        <v>3.8227896302082733</v>
      </c>
      <c r="AD27" s="386">
        <f>AD1*$I$52</f>
        <v>134665.4412</v>
      </c>
      <c r="AE27" s="460">
        <f>AD27/$I$7</f>
        <v>112.22120100000001</v>
      </c>
      <c r="AF27" s="464">
        <f>IF($I$14="no",AD27/(($I$7*$I$10)/100),AD27/$AD$1)</f>
        <v>0.57</v>
      </c>
      <c r="AG27" s="47">
        <f>(AD27/$AD$13)*100</f>
        <v>3.383547001296025</v>
      </c>
      <c r="AH27" s="47">
        <f>(AD27/$AD$36)*100</f>
        <v>3.8509004896722656</v>
      </c>
      <c r="AI27" s="386">
        <f>AI1*$I$52</f>
        <v>136012.095612</v>
      </c>
      <c r="AJ27" s="460">
        <f>AI27/$I$7</f>
        <v>113.34341301</v>
      </c>
      <c r="AK27" s="464">
        <f>IF($I$14="no",AI27/(($I$7*$I$10)/100),AI27/$AI$1)</f>
        <v>0.57</v>
      </c>
      <c r="AL27" s="47">
        <f>(AI27/$AI$13)*100</f>
        <v>3.3860270686672056</v>
      </c>
      <c r="AM27" s="47">
        <f>(AI27/$AI$36)*100</f>
        <v>3.879119838934432</v>
      </c>
      <c r="AN27" s="386">
        <f>AN1*$I$52</f>
        <v>137372.21656812</v>
      </c>
      <c r="AO27" s="460">
        <f>AN27/$I$7</f>
        <v>114.4768471401</v>
      </c>
      <c r="AP27" s="464">
        <f>IF($I$14="no",AN27/(($I$7*$I$10)/100),AN27/$AN$1)</f>
        <v>0.57</v>
      </c>
      <c r="AQ27" s="47">
        <f>(AN27/$AN$13)*100</f>
        <v>3.3884861653726506</v>
      </c>
      <c r="AR27" s="47">
        <f>(AN27/$AN$36)*100</f>
        <v>3.907446520828773</v>
      </c>
      <c r="AS27" s="29" t="s">
        <v>155</v>
      </c>
      <c r="AT27" s="386">
        <f>AT1*$I$52</f>
        <v>138745.9387338012</v>
      </c>
      <c r="AU27" s="460">
        <f>AT27/$I$7</f>
        <v>115.62161561150099</v>
      </c>
      <c r="AV27" s="464">
        <f>IF($I$14="no",AT27/(($I$7*$I$10)/100),AT27/$AT$1)</f>
        <v>0.57</v>
      </c>
      <c r="AW27" s="47">
        <f>(AT27/$AT$13)*100</f>
        <v>3.390924436076253</v>
      </c>
      <c r="AX27" s="47">
        <f>(AT27/$AT$36)*100</f>
        <v>3.935879352789337</v>
      </c>
      <c r="AY27" s="386">
        <f>AY1*$I$52</f>
        <v>140133.39812113918</v>
      </c>
      <c r="AZ27" s="460">
        <f>AY27/$I$7</f>
        <v>116.77783176761598</v>
      </c>
      <c r="BA27" s="464">
        <f>IF($I$14="no",AY27/(($I$7*$I$10)/100),AY27/$AY$1)</f>
        <v>0.57</v>
      </c>
      <c r="BB27" s="47">
        <f>(AY27/$AY$13)*100</f>
        <v>3.3933420250464827</v>
      </c>
      <c r="BC27" s="47">
        <f>(AY27/$AY$36)*100</f>
        <v>3.9644896116231836</v>
      </c>
      <c r="BD27" s="386">
        <f>BD1*$I$52</f>
        <v>141534.7321023506</v>
      </c>
      <c r="BE27" s="460">
        <f>BD27/$I$7</f>
        <v>117.94561008529216</v>
      </c>
      <c r="BF27" s="464">
        <f>IF($I$14="no",BD27/(($I$7*$I$10)/100),BD27/$BD$1)</f>
        <v>0.57</v>
      </c>
      <c r="BG27" s="47">
        <f>(BD27/$BD$13)*100</f>
        <v>3.395739076145098</v>
      </c>
      <c r="BH27" s="47">
        <f>(BD27/$BD$36)*100</f>
        <v>3.9931439807212623</v>
      </c>
      <c r="BI27" s="386">
        <f>BI1*$I$52</f>
        <v>142950.07942337412</v>
      </c>
      <c r="BJ27" s="460">
        <f>BI27/$I$7</f>
        <v>119.1250661861451</v>
      </c>
      <c r="BK27" s="464">
        <f>IF($I$14="no",BI27/(($I$7*$I$10)/100),BI27/$BI$1)</f>
        <v>0.57</v>
      </c>
      <c r="BL27" s="47">
        <f>(BI27/$BI$13)*100</f>
        <v>3.3981157328161427</v>
      </c>
      <c r="BM27" s="47">
        <f>(BI27/$BI$36)*100</f>
        <v>4.0219010346176995</v>
      </c>
      <c r="BN27" s="386">
        <f>BN1*$I$52</f>
        <v>144379.58021760784</v>
      </c>
      <c r="BO27" s="460">
        <f>BN27/$I$7</f>
        <v>120.31631684800654</v>
      </c>
      <c r="BP27" s="464">
        <f>IF($I$14="no",BN27/(($I$7*$I$10)/100),BN27/$BN$1)</f>
        <v>0.57</v>
      </c>
      <c r="BQ27" s="47">
        <f>(BN27/$BN$13)*100</f>
        <v>3.4004721380752194</v>
      </c>
      <c r="BR27" s="47">
        <f>(BN27/$BN$36)*100</f>
        <v>4.0507594910482805</v>
      </c>
      <c r="BS27" s="29" t="s">
        <v>155</v>
      </c>
      <c r="BT27" s="386">
        <f>BT1*$I$52</f>
        <v>145823.3760197839</v>
      </c>
      <c r="BU27" s="460">
        <f>BT27/$I$7</f>
        <v>121.51948001648658</v>
      </c>
      <c r="BV27" s="464">
        <f>IF($I$14="no",BT27/(($I$7*$I$10)/100),BT27/$BT$1)</f>
        <v>0.57</v>
      </c>
      <c r="BW27" s="47">
        <f>(BT27/$BT$13)*100</f>
        <v>3.4028084344990495</v>
      </c>
      <c r="BX27" s="47">
        <f>(BT27/$BT$36)*100</f>
        <v>4.079718042512858</v>
      </c>
      <c r="BY27" s="386">
        <f>BY1*$I$52</f>
        <v>147281.60977998172</v>
      </c>
      <c r="BZ27" s="460">
        <f>BY27/$I$7</f>
        <v>122.73467481665143</v>
      </c>
      <c r="CA27" s="464">
        <f>IF($I$14="no",BY27/(($I$7*$I$10)/100),BY27/$BY$1)</f>
        <v>0.57</v>
      </c>
      <c r="CB27" s="47">
        <f>(BY27/$BY$13)*100</f>
        <v>3.4051247642152997</v>
      </c>
      <c r="CC27" s="47">
        <f>(BY27/$BY$36)*100</f>
        <v>4.108775356343299</v>
      </c>
      <c r="CD27" s="386">
        <f>CD1*$I$52</f>
        <v>148754.42587778156</v>
      </c>
      <c r="CE27" s="460">
        <f>CD27/$I$7</f>
        <v>123.96202156481796</v>
      </c>
      <c r="CF27" s="464">
        <f>IF($I$14="no",CD27/(($I$7*$I$10)/100),CD27/$CD$1)</f>
        <v>0.57</v>
      </c>
      <c r="CG27" s="47">
        <f>(CD27/$CD$13)*100</f>
        <v>3.4074212688926817</v>
      </c>
      <c r="CH27" s="47">
        <f>(CD27/$CD$36)*100</f>
        <v>4.137930074781456</v>
      </c>
      <c r="CI27" s="386">
        <f>CI1*$I$52</f>
        <v>150241.97013655936</v>
      </c>
      <c r="CJ27" s="460">
        <f>CI27/$I$7</f>
        <v>125.20164178046613</v>
      </c>
      <c r="CK27" s="464">
        <f>IF($I$14="no",CI27/(($I$7*$I$10)/100),CI27/$CI$1)</f>
        <v>0.57</v>
      </c>
      <c r="CL27" s="47">
        <f>(CI27/$CI$13)*100</f>
        <v>3.4096980897313145</v>
      </c>
      <c r="CM27" s="47">
        <f>(CI27/$CI$36)*100</f>
        <v>4.167180815067257</v>
      </c>
      <c r="CN27" s="386">
        <f>CN1*$I$52</f>
        <v>151744.389837925</v>
      </c>
      <c r="CO27" s="460">
        <f>CN27/$I$7</f>
        <v>126.45365819827083</v>
      </c>
      <c r="CP27" s="464">
        <f>IF($I$14="no",CN27/(($I$7*$I$10)/100),CN27/$CN$1)</f>
        <v>0.57</v>
      </c>
      <c r="CQ27" s="47">
        <f>(CN27/$CN$13)*100</f>
        <v>3.411955367453364</v>
      </c>
      <c r="CR27" s="47">
        <f>(CN27/$CN$36)*100</f>
        <v>4.196526169537019</v>
      </c>
      <c r="CS27" s="29" t="s">
        <v>155</v>
      </c>
      <c r="CT27" s="386">
        <f>CT1*$I$52</f>
        <v>153261.83373630425</v>
      </c>
      <c r="CU27" s="460">
        <f>CT27/$I$7</f>
        <v>127.71819478025354</v>
      </c>
      <c r="CV27" s="464">
        <f>IF($I$14="no",CT27/(($I$7*$I$10)/100),CT27/$CT$1)</f>
        <v>0.57</v>
      </c>
      <c r="CW27" s="47">
        <f>(CT27/$CT$13)*100</f>
        <v>3.414193242293923</v>
      </c>
      <c r="CX27" s="47">
        <f>(CT27/$CT$36)*100</f>
        <v>4.225964705732045</v>
      </c>
      <c r="CY27" s="386">
        <f>CY1*$I$52</f>
        <v>154794.4520736673</v>
      </c>
      <c r="CZ27" s="460">
        <f>CY27/$I$7</f>
        <v>128.99537672805607</v>
      </c>
      <c r="DA27" s="464">
        <f>IF($I$14="no",CY27/(($I$7*$I$10)/100),CY27/$CY$1)</f>
        <v>0.57</v>
      </c>
      <c r="DB27" s="47">
        <f>(CY27/$CY$13)*100</f>
        <v>3.4164118539921655</v>
      </c>
      <c r="DC27" s="47">
        <f>(CY27/$CY$36)*100</f>
        <v>4.255494966517617</v>
      </c>
      <c r="DD27" s="386">
        <f>DD1*$I$52</f>
        <v>156342.39659440398</v>
      </c>
      <c r="DE27" s="460">
        <f>DD27/$I$7</f>
        <v>130.28533049533664</v>
      </c>
      <c r="DF27" s="464">
        <f>IF($I$14="no",DD27/(($I$7*$I$10)/100),DD27/$DD$1)</f>
        <v>0.57</v>
      </c>
      <c r="DG27" s="47">
        <f>(DD27/$DD$13)*100</f>
        <v>3.4186113417827477</v>
      </c>
      <c r="DH27" s="47">
        <f>(DD27/$DD$36)*100</f>
        <v>4.285115470212421</v>
      </c>
      <c r="DI27" s="386">
        <f>DI1*$I$52</f>
        <v>157905.82056034802</v>
      </c>
      <c r="DJ27" s="460">
        <f>DI27/$I$7</f>
        <v>131.58818380029</v>
      </c>
      <c r="DK27" s="464">
        <f>IF($I$14="no",DI27/(($I$7*$I$10)/100),DI27/$DI$1)</f>
        <v>0.57</v>
      </c>
      <c r="DL27" s="47">
        <f>(DI27/$DI$13)*100</f>
        <v>3.420791844387457</v>
      </c>
      <c r="DM27" s="47">
        <f>(DI27/$DI$36)*100</f>
        <v>4.314824710728496</v>
      </c>
      <c r="DN27" s="457">
        <f>DN1*$I$52</f>
        <v>159484.8787659515</v>
      </c>
      <c r="DO27" s="460">
        <f>DN27/$I$7</f>
        <v>132.9040656382929</v>
      </c>
      <c r="DP27" s="464">
        <f>IF($I$14="no",DN27/(($I$7*$I$10)/100),DN27/$DN$1)</f>
        <v>0.57</v>
      </c>
      <c r="DQ27" s="47">
        <f>(DN27/$DN$13)*100</f>
        <v>3.4229535000071123</v>
      </c>
      <c r="DR27" s="50">
        <f>(DN27/$DN$36)*100</f>
        <v>4.344621157721766</v>
      </c>
      <c r="DT27" s="62">
        <v>18</v>
      </c>
      <c r="DU27" s="107">
        <f t="shared" si="0"/>
        <v>83392.50688649756</v>
      </c>
      <c r="DV27" s="107">
        <f t="shared" si="1"/>
        <v>23123.835266113336</v>
      </c>
      <c r="DW27" s="107">
        <f t="shared" si="2"/>
        <v>106516.3421526109</v>
      </c>
      <c r="DX27" s="107">
        <f t="shared" si="3"/>
        <v>0</v>
      </c>
      <c r="DY27" s="107">
        <f t="shared" si="4"/>
        <v>0</v>
      </c>
      <c r="DZ27" s="107">
        <f t="shared" si="5"/>
        <v>0</v>
      </c>
      <c r="EA27" s="107">
        <f t="shared" si="6"/>
        <v>182925.26946596566</v>
      </c>
      <c r="EB27" s="107">
        <f t="shared" si="7"/>
        <v>50723.1879106068</v>
      </c>
      <c r="EC27" s="107">
        <f t="shared" si="8"/>
        <v>233648.45737657245</v>
      </c>
      <c r="ED27" s="107">
        <f t="shared" si="9"/>
        <v>0</v>
      </c>
      <c r="EE27" s="107">
        <f t="shared" si="10"/>
        <v>0</v>
      </c>
      <c r="EF27" s="79">
        <f t="shared" si="11"/>
        <v>0</v>
      </c>
      <c r="EH27" s="62">
        <v>18</v>
      </c>
      <c r="EI27" s="107">
        <v>0</v>
      </c>
      <c r="EJ27" s="107">
        <v>0</v>
      </c>
      <c r="EK27" s="107">
        <v>0</v>
      </c>
      <c r="EL27" s="107">
        <v>0</v>
      </c>
      <c r="EM27" s="107">
        <v>0</v>
      </c>
      <c r="EN27" s="107">
        <v>0</v>
      </c>
      <c r="EO27" s="107">
        <v>0</v>
      </c>
      <c r="EP27" s="107">
        <v>0</v>
      </c>
      <c r="EQ27" s="107">
        <v>0</v>
      </c>
      <c r="ER27" s="107">
        <v>0</v>
      </c>
      <c r="ES27" s="107">
        <v>0</v>
      </c>
      <c r="ET27" s="107">
        <v>0</v>
      </c>
      <c r="EU27" s="107">
        <v>0</v>
      </c>
      <c r="EV27" s="107">
        <v>0</v>
      </c>
      <c r="EW27" s="107">
        <v>0</v>
      </c>
      <c r="EX27" s="79">
        <v>0</v>
      </c>
      <c r="FH27" s="62">
        <v>18</v>
      </c>
      <c r="FI27" s="107">
        <v>0</v>
      </c>
      <c r="FJ27" s="107">
        <v>0</v>
      </c>
      <c r="FK27" s="107" t="b">
        <f t="shared" si="14"/>
        <v>0</v>
      </c>
      <c r="FL27" s="107">
        <f t="shared" si="15"/>
        <v>0</v>
      </c>
      <c r="FM27" s="107">
        <f t="shared" si="16"/>
        <v>0</v>
      </c>
      <c r="FN27" s="107">
        <v>0</v>
      </c>
      <c r="FO27" s="107">
        <v>0</v>
      </c>
      <c r="FP27" s="107">
        <f t="shared" si="19"/>
        <v>0</v>
      </c>
      <c r="FQ27" s="107">
        <v>0</v>
      </c>
      <c r="FR27" s="107">
        <v>0</v>
      </c>
      <c r="FS27" s="107">
        <f t="shared" si="20"/>
        <v>0</v>
      </c>
      <c r="FT27" s="107">
        <v>0</v>
      </c>
      <c r="FU27" s="107">
        <v>0</v>
      </c>
      <c r="FV27" s="107">
        <f t="shared" si="23"/>
        <v>0</v>
      </c>
      <c r="FW27" s="107">
        <v>0</v>
      </c>
      <c r="FX27" s="107">
        <v>0</v>
      </c>
      <c r="FY27" s="107">
        <v>0</v>
      </c>
      <c r="FZ27" s="107">
        <v>0</v>
      </c>
      <c r="GA27" s="107">
        <v>0</v>
      </c>
      <c r="GB27" s="107">
        <v>0</v>
      </c>
      <c r="GC27" s="107">
        <v>0</v>
      </c>
      <c r="GD27" s="107">
        <v>0</v>
      </c>
      <c r="GE27" s="107">
        <v>0</v>
      </c>
      <c r="GF27" s="107">
        <v>0</v>
      </c>
      <c r="GG27" s="107">
        <v>0</v>
      </c>
      <c r="GH27" s="107">
        <v>0</v>
      </c>
      <c r="GI27" s="107" t="b">
        <f>IF($H$124="yes",IF($I$124=3,SLN($EW$24,0,$I$124),0))</f>
        <v>0</v>
      </c>
      <c r="GJ27" s="107">
        <f>IF($H$124="no",IF($I$124=3,SYD($EW$24,0,$I$124,$FH12),0))</f>
        <v>29212.5</v>
      </c>
      <c r="GK27" s="107" t="b">
        <f>IF($H$124="yes",IF($I$124=5,SLN($EW$24,0,$I$124),0))</f>
        <v>0</v>
      </c>
      <c r="GL27" s="107">
        <f>IF($H$124="no",IF($I$124=5,SYD($EW$24,0,$I$124,$FH12),0))</f>
        <v>0</v>
      </c>
      <c r="GM27" s="10">
        <f t="shared" si="24"/>
        <v>29212.5</v>
      </c>
      <c r="GN27" s="107">
        <f>IF($H$126="yes",SLN(($EI$19+$EM$19+$EO$19+$EQ$19+$ES$19+$EU$19),0,10)+SLN(($EK$24),0,5),0)</f>
        <v>0</v>
      </c>
      <c r="GO27" s="107">
        <f>IF($H$126="no",SYD(($EI$19+$EM$19+$EO$19+$EQ$19+$ES$19+$EU$19),0,10,$FH17)+SYD(($EK$24),0,5,$FH12),0)</f>
        <v>25707.272727272728</v>
      </c>
      <c r="GP27" s="107">
        <f t="shared" si="26"/>
        <v>25707.272727272728</v>
      </c>
      <c r="GQ27" s="27">
        <f t="shared" si="25"/>
        <v>54919.77272727273</v>
      </c>
    </row>
    <row r="28" spans="1:199" ht="17.25" thickBot="1" thickTop="1">
      <c r="A28" s="481">
        <v>1200</v>
      </c>
      <c r="B28" s="414" t="s">
        <v>156</v>
      </c>
      <c r="C28" s="415" t="s">
        <v>144</v>
      </c>
      <c r="D28" s="483">
        <v>19</v>
      </c>
      <c r="E28" s="459">
        <f>D28*A28</f>
        <v>22800</v>
      </c>
      <c r="G28" s="55" t="s">
        <v>157</v>
      </c>
      <c r="H28" s="440"/>
      <c r="I28" s="129"/>
      <c r="J28" s="203"/>
      <c r="K28" s="30" t="s">
        <v>158</v>
      </c>
      <c r="L28" s="159">
        <f>$CY$61</f>
        <v>376458.80459561665</v>
      </c>
      <c r="M28" s="107">
        <f>$CY$63</f>
        <v>694.3399603749539</v>
      </c>
      <c r="N28" s="107">
        <f>$CY$64</f>
        <v>20619.769959230285</v>
      </c>
      <c r="O28" s="244">
        <f>$CY$65</f>
        <v>14.213764797478781</v>
      </c>
      <c r="P28" s="96">
        <f>IF($I$14="yes",CY$2,$I$10)</f>
        <v>22630.767847027382</v>
      </c>
      <c r="Q28" s="392">
        <f>$CY$4</f>
        <v>15.6</v>
      </c>
      <c r="R28" s="114"/>
      <c r="S28" s="29" t="s">
        <v>159</v>
      </c>
      <c r="T28" s="386">
        <f>T1*$I$53</f>
        <v>39372</v>
      </c>
      <c r="U28" s="460">
        <f>T28/$I$7</f>
        <v>32.81</v>
      </c>
      <c r="V28" s="464">
        <f>IF($I$14="no",T28/(($I$7*$I$10)/100),T28/$T$1)</f>
        <v>0.17</v>
      </c>
      <c r="W28" s="47">
        <f>(T28/$T$13)*100</f>
        <v>1.0076297782085857</v>
      </c>
      <c r="X28" s="47">
        <f>(T28/$T$36)*100</f>
        <v>1.1317789941939411</v>
      </c>
      <c r="Y28" s="386">
        <f>Y1*$I$53</f>
        <v>39765.72</v>
      </c>
      <c r="Z28" s="460">
        <f>Y28/$I$7</f>
        <v>33.1381</v>
      </c>
      <c r="AA28" s="464">
        <f>IF($I$14="no",Y28/(($I$7*$I$10)/100),Y28/$Y$1)</f>
        <v>0.17</v>
      </c>
      <c r="AB28" s="47">
        <f>(Y28/$Y$13)*100</f>
        <v>1.0083820861332133</v>
      </c>
      <c r="AC28" s="47">
        <f>(Y28/$Y$36)*100</f>
        <v>1.1401302405884324</v>
      </c>
      <c r="AD28" s="386">
        <f>AD1*$I$53</f>
        <v>40163.3772</v>
      </c>
      <c r="AE28" s="460">
        <f>AD28/$I$7</f>
        <v>33.469481</v>
      </c>
      <c r="AF28" s="464">
        <f>IF($I$14="no",AD28/(($I$7*$I$10)/100),AD28/$AD$1)</f>
        <v>0.17</v>
      </c>
      <c r="AG28" s="47">
        <f>(AD28/$AD$13)*100</f>
        <v>1.0091280530181128</v>
      </c>
      <c r="AH28" s="47">
        <f>(AD28/$AD$36)*100</f>
        <v>1.1485141811303248</v>
      </c>
      <c r="AI28" s="386">
        <f>AI1*$I$53</f>
        <v>40565.010972000004</v>
      </c>
      <c r="AJ28" s="460">
        <f>AI28/$I$7</f>
        <v>33.804175810000004</v>
      </c>
      <c r="AK28" s="464">
        <f>IF($I$14="no",AI28/(($I$7*$I$10)/100),AI28/$AI$1)</f>
        <v>0.17</v>
      </c>
      <c r="AL28" s="47">
        <f>(AI28/$AI$13)*100</f>
        <v>1.009867722234079</v>
      </c>
      <c r="AM28" s="47">
        <f>(AI28/$AI$36)*100</f>
        <v>1.1569304782786904</v>
      </c>
      <c r="AN28" s="386">
        <f>AN1*$I$53</f>
        <v>40970.661081720005</v>
      </c>
      <c r="AO28" s="460">
        <f>AN28/$I$7</f>
        <v>34.1422175681</v>
      </c>
      <c r="AP28" s="464">
        <f>IF($I$14="no",AN28/(($I$7*$I$10)/100),AN28/$AN$1)</f>
        <v>0.17</v>
      </c>
      <c r="AQ28" s="47">
        <f>(AN28/$AN$13)*100</f>
        <v>1.0106011370409662</v>
      </c>
      <c r="AR28" s="47">
        <f>(AN28/$AN$36)*100</f>
        <v>1.1653787869138448</v>
      </c>
      <c r="AS28" s="29" t="s">
        <v>159</v>
      </c>
      <c r="AT28" s="386">
        <f>AT1*$I$53</f>
        <v>41380.367692537206</v>
      </c>
      <c r="AU28" s="460">
        <f>AT28/$I$7</f>
        <v>34.483639743781005</v>
      </c>
      <c r="AV28" s="464">
        <f>IF($I$14="no",AT28/(($I$7*$I$10)/100),AT28/$AT$1)</f>
        <v>0.17</v>
      </c>
      <c r="AW28" s="47">
        <f>(AT28/$AT$13)*100</f>
        <v>1.0113283405841458</v>
      </c>
      <c r="AX28" s="47">
        <f>(AT28/$AT$36)*100</f>
        <v>1.1738587543406798</v>
      </c>
      <c r="AY28" s="386">
        <f>AY1*$I$53</f>
        <v>41794.17136946257</v>
      </c>
      <c r="AZ28" s="460">
        <f>AY28/$I$7</f>
        <v>34.82847614121881</v>
      </c>
      <c r="BA28" s="464">
        <f>IF($I$14="no",AY28/(($I$7*$I$10)/100),AY28/$AY$1)</f>
        <v>0.17</v>
      </c>
      <c r="BB28" s="47">
        <f>(AY28/$AY$13)*100</f>
        <v>1.0120493758910565</v>
      </c>
      <c r="BC28" s="47">
        <f>(AY28/$AY$36)*100</f>
        <v>1.182391638554283</v>
      </c>
      <c r="BD28" s="386">
        <f>BD1*$I$53</f>
        <v>42212.1130831572</v>
      </c>
      <c r="BE28" s="460">
        <f>BD28/$I$7</f>
        <v>35.176760902631</v>
      </c>
      <c r="BF28" s="464">
        <f>IF($I$14="no",BD28/(($I$7*$I$10)/100),BD28/$BD$1)</f>
        <v>0.17</v>
      </c>
      <c r="BG28" s="47">
        <f>(BD28/$BD$13)*100</f>
        <v>1.0127642858678365</v>
      </c>
      <c r="BH28" s="47">
        <f>(BD28/$BD$36)*100</f>
        <v>1.1909376784607275</v>
      </c>
      <c r="BI28" s="386">
        <f>BI1*$I$53</f>
        <v>42634.23421398878</v>
      </c>
      <c r="BJ28" s="460">
        <f>BI28/$I$7</f>
        <v>35.52852851165731</v>
      </c>
      <c r="BK28" s="464">
        <f>IF($I$14="no",BI28/(($I$7*$I$10)/100),BI28/$BI$1)</f>
        <v>0.17</v>
      </c>
      <c r="BL28" s="47">
        <f>(BI28/$BI$13)*100</f>
        <v>1.0134731132960426</v>
      </c>
      <c r="BM28" s="47">
        <f>(BI28/$BI$36)*100</f>
        <v>1.1995143436579103</v>
      </c>
      <c r="BN28" s="386">
        <f>BN1*$I$53</f>
        <v>43060.57655612866</v>
      </c>
      <c r="BO28" s="460">
        <f>BN28/$I$7</f>
        <v>35.883813796773886</v>
      </c>
      <c r="BP28" s="464">
        <f>IF($I$14="no",BN28/(($I$7*$I$10)/100),BN28/$BN$1)</f>
        <v>0.17</v>
      </c>
      <c r="BQ28" s="47">
        <f>(BN28/$BN$13)*100</f>
        <v>1.0141759008294515</v>
      </c>
      <c r="BR28" s="47">
        <f>(BN28/$BN$36)*100</f>
        <v>1.208121251716154</v>
      </c>
      <c r="BS28" s="29" t="s">
        <v>159</v>
      </c>
      <c r="BT28" s="386">
        <f>BT1*$I$53</f>
        <v>43491.18232168994</v>
      </c>
      <c r="BU28" s="460">
        <f>BT28/$I$7</f>
        <v>36.242651934741616</v>
      </c>
      <c r="BV28" s="464">
        <f>IF($I$14="no",BT28/(($I$7*$I$10)/100),BT28/$BT$1)</f>
        <v>0.17</v>
      </c>
      <c r="BW28" s="47">
        <f>(BT28/$BT$13)*100</f>
        <v>1.014872690990945</v>
      </c>
      <c r="BX28" s="47">
        <f>(BT28/$BT$36)*100</f>
        <v>1.2167580126792736</v>
      </c>
      <c r="BY28" s="386">
        <f>BY1*$I$53</f>
        <v>43926.09414490684</v>
      </c>
      <c r="BZ28" s="460">
        <f>BY28/$I$7</f>
        <v>36.60507845408903</v>
      </c>
      <c r="CA28" s="464">
        <f>IF($I$14="no",BY28/(($I$7*$I$10)/100),BY28/$BY$1)</f>
        <v>0.17</v>
      </c>
      <c r="CB28" s="47">
        <f>(BY28/$BY$13)*100</f>
        <v>1.0155635261694758</v>
      </c>
      <c r="CC28" s="47">
        <f>(BY28/$BY$36)*100</f>
        <v>1.225424229084844</v>
      </c>
      <c r="CD28" s="386">
        <f>CD1*$I$53</f>
        <v>44365.35508635591</v>
      </c>
      <c r="CE28" s="460">
        <f>CD28/$I$7</f>
        <v>36.97112923862992</v>
      </c>
      <c r="CF28" s="464">
        <f>IF($I$14="no",CD28/(($I$7*$I$10)/100),CD28/$CD$1)</f>
        <v>0.17</v>
      </c>
      <c r="CG28" s="47">
        <f>(CD28/$CD$13)*100</f>
        <v>1.0162484486171157</v>
      </c>
      <c r="CH28" s="47">
        <f>(CD28/$CD$36)*100</f>
        <v>1.2341194959874517</v>
      </c>
      <c r="CI28" s="386">
        <f>CI1*$I$53</f>
        <v>44809.00863721947</v>
      </c>
      <c r="CJ28" s="460">
        <f>CI28/$I$7</f>
        <v>37.34084053101623</v>
      </c>
      <c r="CK28" s="464">
        <f>IF($I$14="no",CI28/(($I$7*$I$10)/100),CI28/$CI$1)</f>
        <v>0.17</v>
      </c>
      <c r="CL28" s="47">
        <f>(CI28/$CI$13)*100</f>
        <v>1.0169275004461817</v>
      </c>
      <c r="CM28" s="47">
        <f>(CI28/$CI$36)*100</f>
        <v>1.2428434009849716</v>
      </c>
      <c r="CN28" s="386">
        <f>CN1*$I$53</f>
        <v>45257.09872359168</v>
      </c>
      <c r="CO28" s="460">
        <f>CN28/$I$7</f>
        <v>37.7142489363264</v>
      </c>
      <c r="CP28" s="464">
        <f>IF($I$14="no",CN28/(($I$7*$I$10)/100),CN28/$CN$1)</f>
        <v>0.17</v>
      </c>
      <c r="CQ28" s="47">
        <f>(CN28/$CN$13)*100</f>
        <v>1.017600723626442</v>
      </c>
      <c r="CR28" s="47">
        <f>(CN28/$CN$36)*100</f>
        <v>1.2515955242478831</v>
      </c>
      <c r="CS28" s="29" t="s">
        <v>159</v>
      </c>
      <c r="CT28" s="386">
        <f>CT1*$I$53</f>
        <v>45709.669710827584</v>
      </c>
      <c r="CU28" s="460">
        <f>CT28/$I$7</f>
        <v>38.09139142568965</v>
      </c>
      <c r="CV28" s="464">
        <f>IF($I$14="no",CT28/(($I$7*$I$10)/100),CT28/$CT$1)</f>
        <v>0.17</v>
      </c>
      <c r="CW28" s="47">
        <f>(CT28/$CT$13)*100</f>
        <v>1.0182681599823984</v>
      </c>
      <c r="CX28" s="47">
        <f>(CT28/$CT$36)*100</f>
        <v>1.2603754385516623</v>
      </c>
      <c r="CY28" s="386">
        <f>CY1*$I$53</f>
        <v>46166.766407935866</v>
      </c>
      <c r="CZ28" s="460">
        <f>CY28/$I$7</f>
        <v>38.47230533994655</v>
      </c>
      <c r="DA28" s="464">
        <f>IF($I$14="no",CY28/(($I$7*$I$10)/100),CY28/$CY$1)</f>
        <v>0.17</v>
      </c>
      <c r="DB28" s="47">
        <f>(CY28/$CY$13)*100</f>
        <v>1.0189298511906462</v>
      </c>
      <c r="DC28" s="47">
        <f>(CY28/$CY$36)*100</f>
        <v>1.2691827093122718</v>
      </c>
      <c r="DD28" s="386">
        <f>DD1*$I$53</f>
        <v>46628.434072015225</v>
      </c>
      <c r="DE28" s="460">
        <f>DD28/$I$7</f>
        <v>38.85702839334602</v>
      </c>
      <c r="DF28" s="464">
        <f>IF($I$14="no",DD28/(($I$7*$I$10)/100),DD28/$DD$1)</f>
        <v>0.17</v>
      </c>
      <c r="DG28" s="47">
        <f>(DD28/$DD$13)*100</f>
        <v>1.019585838777311</v>
      </c>
      <c r="DH28" s="47">
        <f>(DD28/$DD$36)*100</f>
        <v>1.2780168946247572</v>
      </c>
      <c r="DI28" s="386">
        <f>DI1*$I$53</f>
        <v>47094.71841273538</v>
      </c>
      <c r="DJ28" s="460">
        <f>DI28/$I$7</f>
        <v>39.24559867727949</v>
      </c>
      <c r="DK28" s="464">
        <f>IF($I$14="no",DI28/(($I$7*$I$10)/100),DI28/$DI$1)</f>
        <v>0.17</v>
      </c>
      <c r="DL28" s="47">
        <f>(DI28/$DI$13)*100</f>
        <v>1.0202361641155577</v>
      </c>
      <c r="DM28" s="47">
        <f>(DI28/$DI$36)*100</f>
        <v>1.2868775453049903</v>
      </c>
      <c r="DN28" s="457">
        <f>DN1*$I$53</f>
        <v>47565.66559686273</v>
      </c>
      <c r="DO28" s="460">
        <f>DN28/$I$7</f>
        <v>39.63805466405228</v>
      </c>
      <c r="DP28" s="464">
        <f>IF($I$14="no",DN28/(($I$7*$I$10)/100),DN28/$DN$1)</f>
        <v>0.17</v>
      </c>
      <c r="DQ28" s="47">
        <f>(DN28/$DN$13)*100</f>
        <v>1.0208808684231738</v>
      </c>
      <c r="DR28" s="50">
        <f>(DN28/$DN$36)*100</f>
        <v>1.2957642049345621</v>
      </c>
      <c r="DT28" s="62">
        <v>19</v>
      </c>
      <c r="DU28" s="107">
        <f t="shared" si="0"/>
        <v>90480.8699718499</v>
      </c>
      <c r="DV28" s="107">
        <f t="shared" si="1"/>
        <v>16035.472180761</v>
      </c>
      <c r="DW28" s="107">
        <f t="shared" si="2"/>
        <v>106516.3421526109</v>
      </c>
      <c r="DX28" s="107">
        <f t="shared" si="3"/>
        <v>0</v>
      </c>
      <c r="DY28" s="107">
        <f t="shared" si="4"/>
        <v>0</v>
      </c>
      <c r="DZ28" s="107">
        <f t="shared" si="5"/>
        <v>0</v>
      </c>
      <c r="EA28" s="107">
        <f t="shared" si="6"/>
        <v>198473.9173705727</v>
      </c>
      <c r="EB28" s="107">
        <f t="shared" si="7"/>
        <v>35174.54000599976</v>
      </c>
      <c r="EC28" s="107">
        <f t="shared" si="8"/>
        <v>233648.45737657245</v>
      </c>
      <c r="ED28" s="107">
        <f t="shared" si="9"/>
        <v>0</v>
      </c>
      <c r="EE28" s="107">
        <f t="shared" si="10"/>
        <v>0</v>
      </c>
      <c r="EF28" s="79">
        <f t="shared" si="11"/>
        <v>0</v>
      </c>
      <c r="EH28" s="62">
        <v>19</v>
      </c>
      <c r="EI28" s="107">
        <v>0</v>
      </c>
      <c r="EJ28" s="107">
        <v>0</v>
      </c>
      <c r="EK28" s="107">
        <v>0</v>
      </c>
      <c r="EL28" s="107">
        <v>0</v>
      </c>
      <c r="EM28" s="107">
        <v>0</v>
      </c>
      <c r="EN28" s="107">
        <v>0</v>
      </c>
      <c r="EO28" s="107">
        <v>0</v>
      </c>
      <c r="EP28" s="107">
        <v>0</v>
      </c>
      <c r="EQ28" s="107">
        <v>0</v>
      </c>
      <c r="ER28" s="107">
        <v>0</v>
      </c>
      <c r="ES28" s="107">
        <v>0</v>
      </c>
      <c r="ET28" s="107">
        <v>0</v>
      </c>
      <c r="EU28" s="107">
        <v>0</v>
      </c>
      <c r="EV28" s="107">
        <v>0</v>
      </c>
      <c r="EW28" s="107">
        <v>0</v>
      </c>
      <c r="EX28" s="79">
        <v>0</v>
      </c>
      <c r="FH28" s="62">
        <v>19</v>
      </c>
      <c r="FI28" s="107">
        <v>0</v>
      </c>
      <c r="FJ28" s="107">
        <v>0</v>
      </c>
      <c r="FK28" s="107" t="b">
        <f t="shared" si="14"/>
        <v>0</v>
      </c>
      <c r="FL28" s="107">
        <f t="shared" si="15"/>
        <v>0</v>
      </c>
      <c r="FM28" s="107">
        <f t="shared" si="16"/>
        <v>0</v>
      </c>
      <c r="FN28" s="107">
        <v>0</v>
      </c>
      <c r="FO28" s="107">
        <v>0</v>
      </c>
      <c r="FP28" s="107">
        <f t="shared" si="19"/>
        <v>0</v>
      </c>
      <c r="FQ28" s="107">
        <v>0</v>
      </c>
      <c r="FR28" s="107">
        <v>0</v>
      </c>
      <c r="FS28" s="107">
        <f t="shared" si="20"/>
        <v>0</v>
      </c>
      <c r="FT28" s="107">
        <v>0</v>
      </c>
      <c r="FU28" s="107">
        <v>0</v>
      </c>
      <c r="FV28" s="107">
        <f t="shared" si="23"/>
        <v>0</v>
      </c>
      <c r="FW28" s="107">
        <v>0</v>
      </c>
      <c r="FX28" s="107">
        <v>0</v>
      </c>
      <c r="FY28" s="107">
        <v>0</v>
      </c>
      <c r="FZ28" s="107">
        <v>0</v>
      </c>
      <c r="GA28" s="107">
        <v>0</v>
      </c>
      <c r="GB28" s="107">
        <v>0</v>
      </c>
      <c r="GC28" s="107">
        <v>0</v>
      </c>
      <c r="GD28" s="107">
        <v>0</v>
      </c>
      <c r="GE28" s="107">
        <v>0</v>
      </c>
      <c r="GF28" s="107">
        <v>0</v>
      </c>
      <c r="GG28" s="107">
        <v>0</v>
      </c>
      <c r="GH28" s="107">
        <v>0</v>
      </c>
      <c r="GI28" s="107">
        <v>0</v>
      </c>
      <c r="GJ28" s="107">
        <v>0</v>
      </c>
      <c r="GK28" s="107" t="b">
        <f>IF($H$124="yes",IF($I$124=5,SLN($EW$24,0,$I$124),0))</f>
        <v>0</v>
      </c>
      <c r="GL28" s="107">
        <f>IF($H$124="no",IF($I$124=5,SYD($EW$24,0,$I$124,$FH13),0))</f>
        <v>0</v>
      </c>
      <c r="GM28" s="10">
        <f t="shared" si="24"/>
        <v>0</v>
      </c>
      <c r="GN28" s="107">
        <f>IF($H$126="yes",SLN(($EI$19+$EM$19+$EO$19+$EQ$19+$ES$19+$EU$19),0,10)+SLN(($EK$24),0,5),0)</f>
        <v>0</v>
      </c>
      <c r="GO28" s="107">
        <f>IF($H$126="no",SYD(($EI$19+$EM$19+$EO$19+$EQ$19+$ES$19+$EU$19),0,10,$FH18)+SYD(($EK$24),0,5,$FH13),0)</f>
        <v>17138.181818181816</v>
      </c>
      <c r="GP28" s="107">
        <f t="shared" si="26"/>
        <v>17138.181818181816</v>
      </c>
      <c r="GQ28" s="27">
        <f t="shared" si="25"/>
        <v>17138.181818181816</v>
      </c>
    </row>
    <row r="29" spans="1:199" ht="17.25" thickBot="1" thickTop="1">
      <c r="A29" s="13"/>
      <c r="B29" s="418"/>
      <c r="C29" s="425"/>
      <c r="D29" s="376" t="s">
        <v>104</v>
      </c>
      <c r="E29" s="368">
        <f>ROUND(SUM(E25:E28),0)</f>
        <v>281600</v>
      </c>
      <c r="G29" s="26" t="s">
        <v>160</v>
      </c>
      <c r="H29" s="440"/>
      <c r="I29" s="129"/>
      <c r="J29" s="203"/>
      <c r="K29" s="30" t="s">
        <v>161</v>
      </c>
      <c r="L29" s="159">
        <f>$DD$61</f>
        <v>375029.58195482485</v>
      </c>
      <c r="M29" s="107">
        <f>$DD$63</f>
        <v>713.3557133746524</v>
      </c>
      <c r="N29" s="107">
        <f>$DD$64</f>
        <v>20853.71237402958</v>
      </c>
      <c r="O29" s="244">
        <f>$DD$65</f>
        <v>14.232700621387933</v>
      </c>
      <c r="P29" s="96">
        <f>IF($I$14="yes",DD$2,$I$10)</f>
        <v>22857.075525497658</v>
      </c>
      <c r="Q29" s="392">
        <f>$DD$4</f>
        <v>15.6</v>
      </c>
      <c r="R29" s="116"/>
      <c r="S29" s="29" t="s">
        <v>162</v>
      </c>
      <c r="T29" s="386">
        <f>T1*$I$54</f>
        <v>34740</v>
      </c>
      <c r="U29" s="460">
        <f>T29/$I$7</f>
        <v>28.95</v>
      </c>
      <c r="V29" s="464">
        <f>IF($I$14="no",T29/(($I$7*$I$10)/100),T29/$T$1)</f>
        <v>0.15</v>
      </c>
      <c r="W29" s="47">
        <f>(T29/$T$13)*100</f>
        <v>0.8890850984193402</v>
      </c>
      <c r="X29" s="47">
        <f>(T29/$T$36)*100</f>
        <v>0.9986285242887715</v>
      </c>
      <c r="Y29" s="386">
        <f>Y1*$I$54</f>
        <v>35087.4</v>
      </c>
      <c r="Z29" s="460">
        <f>Y29/$I$7</f>
        <v>29.2395</v>
      </c>
      <c r="AA29" s="464">
        <f>IF($I$14="no",Y29/(($I$7*$I$10)/100),Y29/$Y$1)</f>
        <v>0.15</v>
      </c>
      <c r="AB29" s="47">
        <f>(Y29/$Y$13)*100</f>
        <v>0.889748899529306</v>
      </c>
      <c r="AC29" s="47">
        <f>(Y29/$Y$36)*100</f>
        <v>1.0059972711074403</v>
      </c>
      <c r="AD29" s="386">
        <f>AD1*$I$54</f>
        <v>35438.274</v>
      </c>
      <c r="AE29" s="460">
        <f>AD29/$I$7</f>
        <v>29.531895</v>
      </c>
      <c r="AF29" s="464">
        <f>IF($I$14="no",AD29/(($I$7*$I$10)/100),AD29/$AD$1)</f>
        <v>0.15</v>
      </c>
      <c r="AG29" s="47">
        <f>(AD29/$AD$13)*100</f>
        <v>0.8904071056042171</v>
      </c>
      <c r="AH29" s="47">
        <f>(AD29/$AD$36)*100</f>
        <v>1.0133948657032277</v>
      </c>
      <c r="AI29" s="386">
        <f>AI1*$I$54</f>
        <v>35792.65674</v>
      </c>
      <c r="AJ29" s="460">
        <f>AI29/$I$7</f>
        <v>29.827213949999997</v>
      </c>
      <c r="AK29" s="464">
        <f>IF($I$14="no",AI29/(($I$7*$I$10)/100),AI29/$AI$1)</f>
        <v>0.15</v>
      </c>
      <c r="AL29" s="47">
        <f>(AI29/$AI$13)*100</f>
        <v>0.8910597549124226</v>
      </c>
      <c r="AM29" s="47">
        <f>(AI29/$AI$36)*100</f>
        <v>1.0208210102459032</v>
      </c>
      <c r="AN29" s="386">
        <f>AN1*$I$54</f>
        <v>36150.583307400004</v>
      </c>
      <c r="AO29" s="460">
        <f>AN29/$I$7</f>
        <v>30.125486089500004</v>
      </c>
      <c r="AP29" s="464">
        <f>IF($I$14="no",AN29/(($I$7*$I$10)/100),AN29/$AN$1)</f>
        <v>0.15</v>
      </c>
      <c r="AQ29" s="47">
        <f>(AN29/$AN$13)*100</f>
        <v>0.8917068856243819</v>
      </c>
      <c r="AR29" s="47">
        <f>(AN29/$AN$36)*100</f>
        <v>1.0282754002180983</v>
      </c>
      <c r="AS29" s="29" t="s">
        <v>162</v>
      </c>
      <c r="AT29" s="386">
        <f>AT1*$I$54</f>
        <v>36512.089140473996</v>
      </c>
      <c r="AU29" s="460">
        <f>AT29/$I$7</f>
        <v>30.426740950394997</v>
      </c>
      <c r="AV29" s="464">
        <f>IF($I$14="no",AT29/(($I$7*$I$10)/100),AT29/$AT$1)</f>
        <v>0.15</v>
      </c>
      <c r="AW29" s="47">
        <f>(AT29/$AT$13)*100</f>
        <v>0.8923485358095402</v>
      </c>
      <c r="AX29" s="47">
        <f>(AT29/$AT$36)*100</f>
        <v>1.0357577244182465</v>
      </c>
      <c r="AY29" s="386">
        <f>AY1*$I$54</f>
        <v>36877.210031878734</v>
      </c>
      <c r="AZ29" s="460">
        <f>AY29/$I$7</f>
        <v>30.731008359898944</v>
      </c>
      <c r="BA29" s="464">
        <f>IF($I$14="no",AY29/(($I$7*$I$10)/100),AY29/$AY$1)</f>
        <v>0.15</v>
      </c>
      <c r="BB29" s="47">
        <f>(AY29/$AY$13)*100</f>
        <v>0.892984743433285</v>
      </c>
      <c r="BC29" s="47">
        <f>(AY29/$AY$36)*100</f>
        <v>1.0432867399008379</v>
      </c>
      <c r="BD29" s="386">
        <f>BD1*$I$54</f>
        <v>37245.982132197525</v>
      </c>
      <c r="BE29" s="460">
        <f>BD29/$I$7</f>
        <v>31.03831844349794</v>
      </c>
      <c r="BF29" s="464">
        <f>IF($I$14="no",BD29/(($I$7*$I$10)/100),BD29/$BD$1)</f>
        <v>0.15</v>
      </c>
      <c r="BG29" s="47">
        <f>(BD29/$BD$13)*100</f>
        <v>0.8936155463539732</v>
      </c>
      <c r="BH29" s="47">
        <f>(BD29/$BD$36)*100</f>
        <v>1.0508273633477005</v>
      </c>
      <c r="BI29" s="386">
        <f>BI1*$I$54</f>
        <v>37618.441953519505</v>
      </c>
      <c r="BJ29" s="460">
        <f>BI29/$I$7</f>
        <v>31.348701627932922</v>
      </c>
      <c r="BK29" s="464">
        <f>IF($I$14="no",BI29/(($I$7*$I$10)/100),BI29/$BI$1)</f>
        <v>0.15</v>
      </c>
      <c r="BL29" s="47">
        <f>(BI29/$BI$13)*100</f>
        <v>0.8942409823200376</v>
      </c>
      <c r="BM29" s="47">
        <f>(BI29/$BI$36)*100</f>
        <v>1.0583950091099208</v>
      </c>
      <c r="BN29" s="386">
        <f>BN1*$I$54</f>
        <v>37994.6263730547</v>
      </c>
      <c r="BO29" s="460">
        <f>BN29/$I$7</f>
        <v>31.66218864421225</v>
      </c>
      <c r="BP29" s="464">
        <f>IF($I$14="no",BN29/(($I$7*$I$10)/100),BN29/$BN$1)</f>
        <v>0.15</v>
      </c>
      <c r="BQ29" s="47">
        <f>(BN29/$BN$13)*100</f>
        <v>0.8948610889671631</v>
      </c>
      <c r="BR29" s="47">
        <f>(BN29/$BN$36)*100</f>
        <v>1.0659893397495477</v>
      </c>
      <c r="BS29" s="29" t="s">
        <v>162</v>
      </c>
      <c r="BT29" s="386">
        <f>BT1*$I$54</f>
        <v>38374.57263678524</v>
      </c>
      <c r="BU29" s="460">
        <f>BT29/$I$7</f>
        <v>31.978810530654368</v>
      </c>
      <c r="BV29" s="464">
        <f>IF($I$14="no",BT29/(($I$7*$I$10)/100),BT29/$BT$1)</f>
        <v>0.15</v>
      </c>
      <c r="BW29" s="47">
        <f>(BT29/$BT$13)*100</f>
        <v>0.8954759038155395</v>
      </c>
      <c r="BX29" s="47">
        <f>(BT29/$BT$36)*100</f>
        <v>1.0736100111875944</v>
      </c>
      <c r="BY29" s="386">
        <f>BY1*$I$54</f>
        <v>38758.31836315309</v>
      </c>
      <c r="BZ29" s="460">
        <f>BY29/$I$7</f>
        <v>32.29859863596091</v>
      </c>
      <c r="CA29" s="464">
        <f>IF($I$14="no",BY29/(($I$7*$I$10)/100),BY29/$BY$1)</f>
        <v>0.15</v>
      </c>
      <c r="CB29" s="47">
        <f>(BY29/$BY$13)*100</f>
        <v>0.8960854642671844</v>
      </c>
      <c r="CC29" s="47">
        <f>(BY29/$BY$36)*100</f>
        <v>1.081256672721921</v>
      </c>
      <c r="CD29" s="386">
        <f>CD1*$I$54</f>
        <v>39145.90154678462</v>
      </c>
      <c r="CE29" s="460">
        <f>CD29/$I$7</f>
        <v>32.62158462232051</v>
      </c>
      <c r="CF29" s="464">
        <f>IF($I$14="no",CD29/(($I$7*$I$10)/100),CD29/$CD$1)</f>
        <v>0.15</v>
      </c>
      <c r="CG29" s="47">
        <f>(CD29/$CD$13)*100</f>
        <v>0.8966898076033372</v>
      </c>
      <c r="CH29" s="47">
        <f>(CD29/$CD$36)*100</f>
        <v>1.0889289670477513</v>
      </c>
      <c r="CI29" s="386">
        <f>CI1*$I$54</f>
        <v>39537.36056225247</v>
      </c>
      <c r="CJ29" s="460">
        <f>CI29/$I$7</f>
        <v>32.947800468543726</v>
      </c>
      <c r="CK29" s="464">
        <f>IF($I$14="no",CI29/(($I$7*$I$10)/100),CI29/$CI$1)</f>
        <v>0.15</v>
      </c>
      <c r="CL29" s="47">
        <f>(CI29/$CI$13)*100</f>
        <v>0.8972889709819252</v>
      </c>
      <c r="CM29" s="47">
        <f>(CI29/$CI$36)*100</f>
        <v>1.0966265302808573</v>
      </c>
      <c r="CN29" s="386">
        <f>CN1*$I$54</f>
        <v>39932.734167875</v>
      </c>
      <c r="CO29" s="460">
        <f>CN29/$I$7</f>
        <v>33.27727847322917</v>
      </c>
      <c r="CP29" s="464">
        <f>IF($I$14="no",CN29/(($I$7*$I$10)/100),CN29/$CN$1)</f>
        <v>0.15</v>
      </c>
      <c r="CQ29" s="47">
        <f>(CN29/$CN$13)*100</f>
        <v>0.8978829914350959</v>
      </c>
      <c r="CR29" s="47">
        <f>(CN29/$CN$36)*100</f>
        <v>1.1043489919834262</v>
      </c>
      <c r="CS29" s="29" t="s">
        <v>162</v>
      </c>
      <c r="CT29" s="386">
        <f>CT1*$I$54</f>
        <v>40332.06150955375</v>
      </c>
      <c r="CU29" s="460">
        <f>CT29/$I$7</f>
        <v>33.61005125796146</v>
      </c>
      <c r="CV29" s="464">
        <f>IF($I$14="no",CT29/(($I$7*$I$10)/100),CT29/$CT$1)</f>
        <v>0.15</v>
      </c>
      <c r="CW29" s="47">
        <f>(CT29/$CT$13)*100</f>
        <v>0.898471905866822</v>
      </c>
      <c r="CX29" s="47">
        <f>(CT29/$CT$36)*100</f>
        <v>1.1120959751926434</v>
      </c>
      <c r="CY29" s="386">
        <f>CY1*$I$54</f>
        <v>40735.38212464929</v>
      </c>
      <c r="CZ29" s="460">
        <f>CY29/$I$7</f>
        <v>33.94615177054107</v>
      </c>
      <c r="DA29" s="464">
        <f>IF($I$14="no",CY29/(($I$7*$I$10)/100),CY29/$CY$1)</f>
        <v>0.15</v>
      </c>
      <c r="DB29" s="47">
        <f>(CY29/$CY$13)*100</f>
        <v>0.89905575105057</v>
      </c>
      <c r="DC29" s="47">
        <f>(CY29/$CY$36)*100</f>
        <v>1.1198670964520046</v>
      </c>
      <c r="DD29" s="386">
        <f>DD1*$I$54</f>
        <v>41142.73594589579</v>
      </c>
      <c r="DE29" s="460">
        <f>DD29/$I$7</f>
        <v>34.28561328824649</v>
      </c>
      <c r="DF29" s="464">
        <f>IF($I$14="no",DD29/(($I$7*$I$10)/100),DD29/$DD$1)</f>
        <v>0.15</v>
      </c>
      <c r="DG29" s="47">
        <f>(DD29/$DD$13)*100</f>
        <v>0.899634563627039</v>
      </c>
      <c r="DH29" s="47">
        <f>(DD29/$DD$36)*100</f>
        <v>1.127661965845374</v>
      </c>
      <c r="DI29" s="386">
        <f>DI1*$I$54</f>
        <v>41554.16330535474</v>
      </c>
      <c r="DJ29" s="460">
        <f>DI29/$I$7</f>
        <v>34.62846942112895</v>
      </c>
      <c r="DK29" s="464">
        <f>IF($I$14="no",DI29/(($I$7*$I$10)/100),DI29/$DI$1)</f>
        <v>0.15</v>
      </c>
      <c r="DL29" s="47">
        <f>(DI29/$DI$13)*100</f>
        <v>0.9002083801019625</v>
      </c>
      <c r="DM29" s="47">
        <f>(DI29/$DI$36)*100</f>
        <v>1.135480187033815</v>
      </c>
      <c r="DN29" s="457">
        <f>DN1*$I$54</f>
        <v>41969.704938408286</v>
      </c>
      <c r="DO29" s="460">
        <f>DN29/$I$7</f>
        <v>34.97475411534024</v>
      </c>
      <c r="DP29" s="464">
        <f>IF($I$14="no",DN29/(($I$7*$I$10)/100),DN29/$DN$1)</f>
        <v>0.15</v>
      </c>
      <c r="DQ29" s="47">
        <f>(DN29/$DN$13)*100</f>
        <v>0.9007772368439767</v>
      </c>
      <c r="DR29" s="50">
        <f>(DN29/$DN$36)*100</f>
        <v>1.143321357295202</v>
      </c>
      <c r="DT29" s="71">
        <v>20</v>
      </c>
      <c r="DU29" s="107">
        <f t="shared" si="0"/>
        <v>98171.7439194571</v>
      </c>
      <c r="DV29" s="107">
        <f t="shared" si="1"/>
        <v>8344.598233153793</v>
      </c>
      <c r="DW29" s="107">
        <f t="shared" si="2"/>
        <v>106516.3421526109</v>
      </c>
      <c r="DX29" s="107">
        <f t="shared" si="3"/>
        <v>0</v>
      </c>
      <c r="DY29" s="107">
        <f t="shared" si="4"/>
        <v>0</v>
      </c>
      <c r="DZ29" s="107">
        <f t="shared" si="5"/>
        <v>0</v>
      </c>
      <c r="EA29" s="107">
        <f t="shared" si="6"/>
        <v>215344.2003470715</v>
      </c>
      <c r="EB29" s="107">
        <f t="shared" si="7"/>
        <v>18304.25702950092</v>
      </c>
      <c r="EC29" s="107">
        <f t="shared" si="8"/>
        <v>233648.45737657242</v>
      </c>
      <c r="ED29" s="107">
        <f t="shared" si="9"/>
        <v>0</v>
      </c>
      <c r="EE29" s="107">
        <f t="shared" si="10"/>
        <v>0</v>
      </c>
      <c r="EF29" s="79">
        <f t="shared" si="11"/>
        <v>0</v>
      </c>
      <c r="EH29" s="71">
        <v>20</v>
      </c>
      <c r="EI29" s="107">
        <v>0</v>
      </c>
      <c r="EJ29" s="107">
        <v>0</v>
      </c>
      <c r="EK29" s="107">
        <v>0</v>
      </c>
      <c r="EL29" s="107">
        <v>0</v>
      </c>
      <c r="EM29" s="107">
        <v>0</v>
      </c>
      <c r="EN29" s="107">
        <v>0</v>
      </c>
      <c r="EO29" s="107">
        <v>0</v>
      </c>
      <c r="EP29" s="107">
        <v>0</v>
      </c>
      <c r="EQ29" s="107">
        <v>0</v>
      </c>
      <c r="ER29" s="107">
        <v>0</v>
      </c>
      <c r="ES29" s="107">
        <v>0</v>
      </c>
      <c r="ET29" s="107">
        <v>0</v>
      </c>
      <c r="EU29" s="107">
        <v>0</v>
      </c>
      <c r="EV29" s="107">
        <v>0</v>
      </c>
      <c r="EW29" s="107">
        <v>0</v>
      </c>
      <c r="EX29" s="79">
        <v>0</v>
      </c>
      <c r="FH29" s="71">
        <v>20</v>
      </c>
      <c r="FI29" s="107">
        <v>0</v>
      </c>
      <c r="FJ29" s="107">
        <v>0</v>
      </c>
      <c r="FK29" s="107" t="b">
        <f t="shared" si="14"/>
        <v>0</v>
      </c>
      <c r="FL29" s="107">
        <f t="shared" si="15"/>
        <v>0</v>
      </c>
      <c r="FM29" s="107">
        <f t="shared" si="16"/>
        <v>0</v>
      </c>
      <c r="FN29" s="107">
        <v>0</v>
      </c>
      <c r="FO29" s="107">
        <v>0</v>
      </c>
      <c r="FP29" s="107">
        <f t="shared" si="19"/>
        <v>0</v>
      </c>
      <c r="FQ29" s="107">
        <v>0</v>
      </c>
      <c r="FR29" s="107">
        <v>0</v>
      </c>
      <c r="FS29" s="107">
        <f t="shared" si="20"/>
        <v>0</v>
      </c>
      <c r="FT29" s="107">
        <v>0</v>
      </c>
      <c r="FU29" s="107">
        <v>0</v>
      </c>
      <c r="FV29" s="107">
        <f t="shared" si="23"/>
        <v>0</v>
      </c>
      <c r="FW29" s="107">
        <v>0</v>
      </c>
      <c r="FX29" s="107">
        <v>0</v>
      </c>
      <c r="FY29" s="107">
        <v>0</v>
      </c>
      <c r="FZ29" s="107">
        <v>0</v>
      </c>
      <c r="GA29" s="107">
        <v>0</v>
      </c>
      <c r="GB29" s="107">
        <v>0</v>
      </c>
      <c r="GC29" s="107">
        <v>0</v>
      </c>
      <c r="GD29" s="107">
        <v>0</v>
      </c>
      <c r="GE29" s="107">
        <v>0</v>
      </c>
      <c r="GF29" s="107">
        <v>0</v>
      </c>
      <c r="GG29" s="107">
        <v>0</v>
      </c>
      <c r="GH29" s="107">
        <v>0</v>
      </c>
      <c r="GI29" s="107">
        <v>0</v>
      </c>
      <c r="GJ29" s="107">
        <v>0</v>
      </c>
      <c r="GK29" s="107" t="b">
        <f>IF($H$124="yes",IF($I$124=5,SLN($EW$24,0,$I$124),0))</f>
        <v>0</v>
      </c>
      <c r="GL29" s="107">
        <f>IF($H$124="no",IF($I$124=5,SYD($EW$24,0,$I$124,$FH14),0))</f>
        <v>0</v>
      </c>
      <c r="GM29" s="10">
        <f t="shared" si="24"/>
        <v>0</v>
      </c>
      <c r="GN29" s="107">
        <f>IF($H$126="yes",SLN(($EI$19+$EM$19+$EO$19+$EQ$19+$ES$19+$EU$19),0,10)+SLN(($EK$24),0,5),0)</f>
        <v>0</v>
      </c>
      <c r="GO29" s="107">
        <f>IF($H$126="no",SYD(($EI$19+$EM$19+$EO$19+$EQ$19+$ES$19+$EU$19),0,10,$FH19)+SYD(($EK$24),0,5,$FH14),0)</f>
        <v>8569.090909090908</v>
      </c>
      <c r="GP29" s="107">
        <f t="shared" si="26"/>
        <v>8569.090909090908</v>
      </c>
      <c r="GQ29" s="27">
        <f t="shared" si="25"/>
        <v>8569.090909090908</v>
      </c>
    </row>
    <row r="30" spans="1:200" ht="17.25" thickBot="1" thickTop="1">
      <c r="A30" s="1" t="s">
        <v>163</v>
      </c>
      <c r="B30" s="418"/>
      <c r="C30" s="425"/>
      <c r="D30" s="365"/>
      <c r="E30" s="364"/>
      <c r="G30" s="394" t="s">
        <v>164</v>
      </c>
      <c r="H30" s="440"/>
      <c r="I30" s="500">
        <v>3.2</v>
      </c>
      <c r="J30" s="203"/>
      <c r="K30" s="30" t="s">
        <v>165</v>
      </c>
      <c r="L30" s="159">
        <f>$DI$61</f>
        <v>372955.38790853065</v>
      </c>
      <c r="M30" s="107">
        <f>$DI$63</f>
        <v>732.0749304278731</v>
      </c>
      <c r="N30" s="107">
        <f>$DI$64</f>
        <v>21093.363225685698</v>
      </c>
      <c r="O30" s="244">
        <f>$DI$65</f>
        <v>14.253725553918912</v>
      </c>
      <c r="P30" s="96">
        <f>IF($I$14="yes",DI$2,$I$10)</f>
        <v>23085.646280752633</v>
      </c>
      <c r="Q30" s="392">
        <f>$DI$4</f>
        <v>15.6</v>
      </c>
      <c r="R30" s="113"/>
      <c r="S30" s="29" t="s">
        <v>166</v>
      </c>
      <c r="T30" s="386">
        <f>T1*$I$55</f>
        <v>11580</v>
      </c>
      <c r="U30" s="460">
        <f>T30/$I$7</f>
        <v>9.65</v>
      </c>
      <c r="V30" s="464">
        <f>IF($I$14="no",T30/(($I$7*$I$10)/100),T30/$T$1)</f>
        <v>0.05</v>
      </c>
      <c r="W30" s="47">
        <f>(T30/$T$13)*100</f>
        <v>0.2963616994731134</v>
      </c>
      <c r="X30" s="47">
        <f>(T30/$T$36)*100</f>
        <v>0.33287617476292386</v>
      </c>
      <c r="Y30" s="386">
        <f>Y1*$I$55</f>
        <v>11695.800000000001</v>
      </c>
      <c r="Z30" s="460">
        <f>Y30/$I$7</f>
        <v>9.746500000000001</v>
      </c>
      <c r="AA30" s="464">
        <f>IF($I$14="no",Y30/(($I$7*$I$10)/100),Y30/$Y$1)</f>
        <v>0.05</v>
      </c>
      <c r="AB30" s="47">
        <f>(Y30/$Y$13)*100</f>
        <v>0.2965829665097687</v>
      </c>
      <c r="AC30" s="47">
        <f>(Y30/$Y$36)*100</f>
        <v>0.3353324237024801</v>
      </c>
      <c r="AD30" s="386">
        <f>AD1*$I$55</f>
        <v>11812.758000000002</v>
      </c>
      <c r="AE30" s="460">
        <f>AD30/$I$7</f>
        <v>9.843965</v>
      </c>
      <c r="AF30" s="464">
        <f>IF($I$14="no",AD30/(($I$7*$I$10)/100),AD30/$AD$1)</f>
        <v>0.05</v>
      </c>
      <c r="AG30" s="47">
        <f>(AD30/$AD$13)*100</f>
        <v>0.29680236853473907</v>
      </c>
      <c r="AH30" s="47">
        <f>(AD30/$AD$36)*100</f>
        <v>0.33779828856774263</v>
      </c>
      <c r="AI30" s="386">
        <f>AI1*$I$55</f>
        <v>11930.885580000002</v>
      </c>
      <c r="AJ30" s="460">
        <f>AI30/$I$7</f>
        <v>9.942404650000002</v>
      </c>
      <c r="AK30" s="464">
        <f>IF($I$14="no",AI30/(($I$7*$I$10)/100),AI30/$AI$1)</f>
        <v>0.05</v>
      </c>
      <c r="AL30" s="47">
        <f>(AI30/$AI$13)*100</f>
        <v>0.29701991830414093</v>
      </c>
      <c r="AM30" s="47">
        <f>(AI30/$AI$36)*100</f>
        <v>0.3402736700819678</v>
      </c>
      <c r="AN30" s="386">
        <f>AN1*$I$55</f>
        <v>12050.194435800002</v>
      </c>
      <c r="AO30" s="460">
        <f>AN30/$I$7</f>
        <v>10.041828696500001</v>
      </c>
      <c r="AP30" s="464">
        <f>IF($I$14="no",AN30/(($I$7*$I$10)/100),AN30/$AN$1)</f>
        <v>0.05</v>
      </c>
      <c r="AQ30" s="47">
        <f>(AN30/$AN$13)*100</f>
        <v>0.29723562854146063</v>
      </c>
      <c r="AR30" s="47">
        <f>(AN30/$AN$36)*100</f>
        <v>0.3427584667393661</v>
      </c>
      <c r="AS30" s="29" t="s">
        <v>166</v>
      </c>
      <c r="AT30" s="386">
        <f>AT1*$I$55</f>
        <v>12170.696380158</v>
      </c>
      <c r="AU30" s="460">
        <f>AT30/$I$7</f>
        <v>10.142246983465</v>
      </c>
      <c r="AV30" s="464">
        <f>IF($I$14="no",AT30/(($I$7*$I$10)/100),AT30/$AT$1)</f>
        <v>0.05</v>
      </c>
      <c r="AW30" s="47">
        <f>(AT30/$AT$13)*100</f>
        <v>0.2974495119365134</v>
      </c>
      <c r="AX30" s="47">
        <f>(AT30/$AT$36)*100</f>
        <v>0.34525257480608224</v>
      </c>
      <c r="AY30" s="386">
        <f>AY1*$I$55</f>
        <v>12292.40334395958</v>
      </c>
      <c r="AZ30" s="460">
        <f>AY30/$I$7</f>
        <v>10.24366945329965</v>
      </c>
      <c r="BA30" s="464">
        <f>IF($I$14="no",AY30/(($I$7*$I$10)/100),AY30/$AY$1)</f>
        <v>0.05</v>
      </c>
      <c r="BB30" s="47">
        <f>(AY30/$AY$13)*100</f>
        <v>0.29766158114442837</v>
      </c>
      <c r="BC30" s="47">
        <f>(AY30/$AY$36)*100</f>
        <v>0.3477622466336127</v>
      </c>
      <c r="BD30" s="386">
        <f>BD1*$I$55</f>
        <v>12415.327377399177</v>
      </c>
      <c r="BE30" s="460">
        <f>BD30/$I$7</f>
        <v>10.346106147832648</v>
      </c>
      <c r="BF30" s="464">
        <f>IF($I$14="no",BD30/(($I$7*$I$10)/100),BD30/$BD$1)</f>
        <v>0.05</v>
      </c>
      <c r="BG30" s="47">
        <f>(BD30/$BD$13)*100</f>
        <v>0.2978718487846578</v>
      </c>
      <c r="BH30" s="47">
        <f>(BD30/$BD$36)*100</f>
        <v>0.3502757877825669</v>
      </c>
      <c r="BI30" s="386">
        <f>BI1*$I$55</f>
        <v>12539.48065117317</v>
      </c>
      <c r="BJ30" s="460">
        <f>BI30/$I$7</f>
        <v>10.449567209310974</v>
      </c>
      <c r="BK30" s="464">
        <f>IF($I$14="no",BI30/(($I$7*$I$10)/100),BI30/$BI$1)</f>
        <v>0.05</v>
      </c>
      <c r="BL30" s="47">
        <f>(BI30/$BI$13)*100</f>
        <v>0.29808032744001256</v>
      </c>
      <c r="BM30" s="47">
        <f>(BI30/$BI$36)*100</f>
        <v>0.35279833636997365</v>
      </c>
      <c r="BN30" s="386">
        <f>BN1*$I$55</f>
        <v>12664.8754576849</v>
      </c>
      <c r="BO30" s="460">
        <f>BN30/$I$7</f>
        <v>10.554062881404084</v>
      </c>
      <c r="BP30" s="464">
        <f>IF($I$14="no",BN30/(($I$7*$I$10)/100),BN30/$BN$1)</f>
        <v>0.05</v>
      </c>
      <c r="BQ30" s="47">
        <f>(BN30/$BN$13)*100</f>
        <v>0.29828702965572107</v>
      </c>
      <c r="BR30" s="47">
        <f>(BN30/$BN$36)*100</f>
        <v>0.3553297799165159</v>
      </c>
      <c r="BS30" s="29" t="s">
        <v>166</v>
      </c>
      <c r="BT30" s="386">
        <f>BT1*$I$55</f>
        <v>12791.52421226175</v>
      </c>
      <c r="BU30" s="460">
        <f>BT30/$I$7</f>
        <v>10.659603510218124</v>
      </c>
      <c r="BV30" s="464">
        <f>IF($I$14="no",BT30/(($I$7*$I$10)/100),BT30/$BT$1)</f>
        <v>0.05</v>
      </c>
      <c r="BW30" s="47">
        <f>(BT30/$BT$13)*100</f>
        <v>0.29849196793851324</v>
      </c>
      <c r="BX30" s="47">
        <f>(BT30/$BT$36)*100</f>
        <v>0.3578700037291982</v>
      </c>
      <c r="BY30" s="386">
        <f>BY1*$I$55</f>
        <v>12919.439454384365</v>
      </c>
      <c r="BZ30" s="460">
        <f>BY30/$I$7</f>
        <v>10.766199545320303</v>
      </c>
      <c r="CA30" s="464">
        <f>IF($I$14="no",BY30/(($I$7*$I$10)/100),BY30/$BY$1)</f>
        <v>0.05</v>
      </c>
      <c r="CB30" s="47">
        <f>(BY30/$BY$13)*100</f>
        <v>0.29869515475572816</v>
      </c>
      <c r="CC30" s="47">
        <f>(BY30/$BY$36)*100</f>
        <v>0.36041889090730705</v>
      </c>
      <c r="CD30" s="386">
        <f>CD1*$I$55</f>
        <v>13048.633848928208</v>
      </c>
      <c r="CE30" s="460">
        <f>CD30/$I$7</f>
        <v>10.873861540773506</v>
      </c>
      <c r="CF30" s="464">
        <f>IF($I$14="no",CD30/(($I$7*$I$10)/100),CD30/$CD$1)</f>
        <v>0.05</v>
      </c>
      <c r="CG30" s="47">
        <f>(CD30/$CD$13)*100</f>
        <v>0.2988966025344458</v>
      </c>
      <c r="CH30" s="47">
        <f>(CD30/$CD$36)*100</f>
        <v>0.36297632234925054</v>
      </c>
      <c r="CI30" s="386">
        <f>CI1*$I$55</f>
        <v>13179.120187417491</v>
      </c>
      <c r="CJ30" s="460">
        <f>CI30/$I$7</f>
        <v>10.982600156181242</v>
      </c>
      <c r="CK30" s="464">
        <f>IF($I$14="no",CI30/(($I$7*$I$10)/100),CI30/$CI$1)</f>
        <v>0.05</v>
      </c>
      <c r="CL30" s="47">
        <f>(CI30/$CI$13)*100</f>
        <v>0.2990963236606417</v>
      </c>
      <c r="CM30" s="47">
        <f>(CI30/$CI$36)*100</f>
        <v>0.3655421767602858</v>
      </c>
      <c r="CN30" s="386">
        <f>CN1*$I$55</f>
        <v>13310.911389291668</v>
      </c>
      <c r="CO30" s="460">
        <f>CN30/$I$7</f>
        <v>11.092426157743057</v>
      </c>
      <c r="CP30" s="464">
        <f>IF($I$14="no",CN30/(($I$7*$I$10)/100),CN30/$CN$1)</f>
        <v>0.05</v>
      </c>
      <c r="CQ30" s="47">
        <f>(CN30/$CN$13)*100</f>
        <v>0.2992943304783653</v>
      </c>
      <c r="CR30" s="47">
        <f>(CN30/$CN$36)*100</f>
        <v>0.3681163306611421</v>
      </c>
      <c r="CS30" s="29" t="s">
        <v>166</v>
      </c>
      <c r="CT30" s="386">
        <f>CT1*$I$55</f>
        <v>13444.020503184584</v>
      </c>
      <c r="CU30" s="460">
        <f>CT30/$I$7</f>
        <v>11.203350419320486</v>
      </c>
      <c r="CV30" s="464">
        <f>IF($I$14="no",CT30/(($I$7*$I$10)/100),CT30/$CT$1)</f>
        <v>0.05</v>
      </c>
      <c r="CW30" s="47">
        <f>(CT30/$CT$13)*100</f>
        <v>0.29949063528894065</v>
      </c>
      <c r="CX30" s="47">
        <f>(CT30/$CT$36)*100</f>
        <v>0.37069865839754773</v>
      </c>
      <c r="CY30" s="386">
        <f>CY1*$I$55</f>
        <v>13578.46070821643</v>
      </c>
      <c r="CZ30" s="460">
        <f>CY30/$I$7</f>
        <v>11.315383923513691</v>
      </c>
      <c r="DA30" s="464">
        <f>IF($I$14="no",CY30/(($I$7*$I$10)/100),CY30/$CY$1)</f>
        <v>0.05</v>
      </c>
      <c r="DB30" s="47">
        <f>(CY30/$CY$13)*100</f>
        <v>0.29968525035019</v>
      </c>
      <c r="DC30" s="47">
        <f>(CY30/$CY$36)*100</f>
        <v>0.37328903215066817</v>
      </c>
      <c r="DD30" s="386">
        <f>DD1*$I$55</f>
        <v>13714.245315298596</v>
      </c>
      <c r="DE30" s="460">
        <f>DD30/$I$7</f>
        <v>11.42853776274883</v>
      </c>
      <c r="DF30" s="464">
        <f>IF($I$14="no",DD30/(($I$7*$I$10)/100),DD30/$DD$1)</f>
        <v>0.05</v>
      </c>
      <c r="DG30" s="47">
        <f>(DD30/$DD$13)*100</f>
        <v>0.29987818787567966</v>
      </c>
      <c r="DH30" s="47">
        <f>(DD30/$DD$36)*100</f>
        <v>0.37588732194845803</v>
      </c>
      <c r="DI30" s="386">
        <f>DI1*$I$55</f>
        <v>13851.387768451583</v>
      </c>
      <c r="DJ30" s="460">
        <f>DI30/$I$7</f>
        <v>11.542823140376319</v>
      </c>
      <c r="DK30" s="464">
        <f>IF($I$14="no",DI30/(($I$7*$I$10)/100),DI30/$DI$1)</f>
        <v>0.05</v>
      </c>
      <c r="DL30" s="47">
        <f>(DI30/$DI$13)*100</f>
        <v>0.30006946003398755</v>
      </c>
      <c r="DM30" s="47">
        <f>(DI30/$DI$36)*100</f>
        <v>0.3784933956779383</v>
      </c>
      <c r="DN30" s="457">
        <f>DN1*$I$55</f>
        <v>13989.901646136097</v>
      </c>
      <c r="DO30" s="460">
        <f>DN30/$I$7</f>
        <v>11.65825137178008</v>
      </c>
      <c r="DP30" s="464">
        <f>IF($I$14="no",DN30/(($I$7*$I$10)/100),DN30/$DN$1)</f>
        <v>0.05</v>
      </c>
      <c r="DQ30" s="47">
        <f>(DN30/$DN$13)*100</f>
        <v>0.3002590789479923</v>
      </c>
      <c r="DR30" s="50">
        <f>(DN30/$DN$36)*100</f>
        <v>0.38110711909840067</v>
      </c>
      <c r="DT30" s="72" t="s">
        <v>167</v>
      </c>
      <c r="DU30" s="73">
        <f aca="true" t="shared" si="27" ref="DU30:EF30">ROUND(SUM(DU10:DU29),0)</f>
        <v>1008000</v>
      </c>
      <c r="DV30" s="73">
        <f t="shared" si="27"/>
        <v>1122327</v>
      </c>
      <c r="DW30" s="73">
        <f t="shared" si="27"/>
        <v>2130327</v>
      </c>
      <c r="DX30" s="73">
        <f t="shared" si="27"/>
        <v>1920000</v>
      </c>
      <c r="DY30" s="73">
        <f t="shared" si="27"/>
        <v>548088</v>
      </c>
      <c r="DZ30" s="73">
        <f t="shared" si="27"/>
        <v>2468088</v>
      </c>
      <c r="EA30" s="73">
        <f t="shared" si="27"/>
        <v>2211094</v>
      </c>
      <c r="EB30" s="73">
        <f t="shared" si="27"/>
        <v>2461875</v>
      </c>
      <c r="EC30" s="73">
        <f t="shared" si="27"/>
        <v>4672969</v>
      </c>
      <c r="ED30" s="73">
        <f t="shared" si="27"/>
        <v>280440</v>
      </c>
      <c r="EE30" s="73">
        <f t="shared" si="27"/>
        <v>80055</v>
      </c>
      <c r="EF30" s="74">
        <f t="shared" si="27"/>
        <v>360495</v>
      </c>
      <c r="EH30" s="72" t="s">
        <v>167</v>
      </c>
      <c r="EI30" s="73">
        <f aca="true" t="shared" si="28" ref="EI30:EX30">ROUND(SUM(EI10:EI29),0)</f>
        <v>39775</v>
      </c>
      <c r="EJ30" s="73">
        <f t="shared" si="28"/>
        <v>16801</v>
      </c>
      <c r="EK30" s="73">
        <f t="shared" si="28"/>
        <v>146250</v>
      </c>
      <c r="EL30" s="73">
        <f t="shared" si="28"/>
        <v>65660</v>
      </c>
      <c r="EM30" s="73">
        <f t="shared" si="28"/>
        <v>86350</v>
      </c>
      <c r="EN30" s="73">
        <f t="shared" si="28"/>
        <v>36475</v>
      </c>
      <c r="EO30" s="73">
        <f t="shared" si="28"/>
        <v>12150</v>
      </c>
      <c r="EP30" s="73">
        <f t="shared" si="28"/>
        <v>5132</v>
      </c>
      <c r="EQ30" s="73">
        <f t="shared" si="28"/>
        <v>112500</v>
      </c>
      <c r="ER30" s="73">
        <f t="shared" si="28"/>
        <v>47521</v>
      </c>
      <c r="ES30" s="73">
        <f t="shared" si="28"/>
        <v>20250</v>
      </c>
      <c r="ET30" s="73">
        <f t="shared" si="28"/>
        <v>8554</v>
      </c>
      <c r="EU30" s="73">
        <f t="shared" si="28"/>
        <v>21525</v>
      </c>
      <c r="EV30" s="73">
        <f t="shared" si="28"/>
        <v>9092</v>
      </c>
      <c r="EW30" s="73">
        <f t="shared" si="28"/>
        <v>525825</v>
      </c>
      <c r="EX30" s="74">
        <f t="shared" si="28"/>
        <v>236074</v>
      </c>
      <c r="FH30" s="72" t="s">
        <v>167</v>
      </c>
      <c r="FI30" s="73">
        <f>SUM(FI10:FI29)</f>
        <v>0</v>
      </c>
      <c r="FJ30" s="73">
        <f>SUM(FJ10:FJ29)</f>
        <v>1861344</v>
      </c>
      <c r="FK30" s="73">
        <f>SUM(FK10:FK29)</f>
        <v>0</v>
      </c>
      <c r="FL30" s="73">
        <f>SUM(FL10:FL29)</f>
        <v>0</v>
      </c>
      <c r="FM30" s="73">
        <f aca="true" t="shared" si="29" ref="FM30:FV30">ROUND(SUM(FM10:FM29),0)</f>
        <v>1861344</v>
      </c>
      <c r="FN30" s="73">
        <f t="shared" si="29"/>
        <v>0</v>
      </c>
      <c r="FO30" s="73">
        <f t="shared" si="29"/>
        <v>79550</v>
      </c>
      <c r="FP30" s="73">
        <f t="shared" si="29"/>
        <v>79550</v>
      </c>
      <c r="FQ30" s="73">
        <f t="shared" si="29"/>
        <v>0</v>
      </c>
      <c r="FR30" s="73">
        <f t="shared" si="29"/>
        <v>97500</v>
      </c>
      <c r="FS30" s="73">
        <f t="shared" si="29"/>
        <v>97500</v>
      </c>
      <c r="FT30" s="73">
        <f t="shared" si="29"/>
        <v>0</v>
      </c>
      <c r="FU30" s="73">
        <f t="shared" si="29"/>
        <v>172700</v>
      </c>
      <c r="FV30" s="73">
        <f t="shared" si="29"/>
        <v>172700</v>
      </c>
      <c r="FW30" s="73">
        <f aca="true" t="shared" si="30" ref="FW30:GF30">ROUND(SUM(FW10:FW29),0)</f>
        <v>0</v>
      </c>
      <c r="FX30" s="73">
        <f t="shared" si="30"/>
        <v>350550</v>
      </c>
      <c r="FY30" s="73">
        <f t="shared" si="30"/>
        <v>0</v>
      </c>
      <c r="FZ30" s="73">
        <f t="shared" si="30"/>
        <v>0</v>
      </c>
      <c r="GA30" s="73">
        <f t="shared" si="30"/>
        <v>0</v>
      </c>
      <c r="GB30" s="73">
        <f t="shared" si="30"/>
        <v>175275</v>
      </c>
      <c r="GC30" s="73">
        <f t="shared" si="30"/>
        <v>0</v>
      </c>
      <c r="GD30" s="73">
        <f t="shared" si="30"/>
        <v>0</v>
      </c>
      <c r="GE30" s="73">
        <f t="shared" si="30"/>
        <v>0</v>
      </c>
      <c r="GF30" s="73">
        <f t="shared" si="30"/>
        <v>175275</v>
      </c>
      <c r="GG30" s="73">
        <f aca="true" t="shared" si="31" ref="GG30:GQ30">ROUND(SUM(GG10:GG29),0)</f>
        <v>0</v>
      </c>
      <c r="GH30" s="73">
        <f t="shared" si="31"/>
        <v>0</v>
      </c>
      <c r="GI30" s="73">
        <f t="shared" si="31"/>
        <v>0</v>
      </c>
      <c r="GJ30" s="73">
        <f t="shared" si="31"/>
        <v>175275</v>
      </c>
      <c r="GK30" s="73">
        <f t="shared" si="31"/>
        <v>0</v>
      </c>
      <c r="GL30" s="73">
        <f t="shared" si="31"/>
        <v>0</v>
      </c>
      <c r="GM30" s="73">
        <f t="shared" si="31"/>
        <v>876375</v>
      </c>
      <c r="GN30" s="73">
        <f t="shared" si="31"/>
        <v>0</v>
      </c>
      <c r="GO30" s="73">
        <f t="shared" si="31"/>
        <v>438800</v>
      </c>
      <c r="GP30" s="73">
        <f t="shared" si="31"/>
        <v>438800</v>
      </c>
      <c r="GQ30" s="74">
        <f t="shared" si="31"/>
        <v>3526269</v>
      </c>
      <c r="GR30" s="109"/>
    </row>
    <row r="31" spans="1:199" ht="16.5" thickTop="1">
      <c r="A31" s="6"/>
      <c r="B31" s="419"/>
      <c r="C31" s="423"/>
      <c r="D31" s="373"/>
      <c r="E31" s="366" t="s">
        <v>19</v>
      </c>
      <c r="G31" s="42" t="s">
        <v>168</v>
      </c>
      <c r="H31" s="440"/>
      <c r="I31" s="129"/>
      <c r="J31" s="203"/>
      <c r="K31" s="155" t="s">
        <v>169</v>
      </c>
      <c r="L31" s="160">
        <f>$DN$61</f>
        <v>380133.64644965075</v>
      </c>
      <c r="M31" s="329">
        <f>$DN$63</f>
        <v>738.4947887225167</v>
      </c>
      <c r="N31" s="329">
        <f>$DN$64</f>
        <v>21285.874290303484</v>
      </c>
      <c r="O31" s="257">
        <f>$DN$65</f>
        <v>14.241399860896662</v>
      </c>
      <c r="P31" s="324">
        <f>IF($I$14="yes",DN$2,$I$10)</f>
        <v>23316.50274356016</v>
      </c>
      <c r="Q31" s="393">
        <f>$DN$4</f>
        <v>15.6</v>
      </c>
      <c r="R31" s="116"/>
      <c r="S31" s="42" t="s">
        <v>170</v>
      </c>
      <c r="T31" s="386"/>
      <c r="U31" s="460"/>
      <c r="V31" s="464"/>
      <c r="W31" s="34"/>
      <c r="X31" s="34"/>
      <c r="Y31" s="460"/>
      <c r="Z31" s="460"/>
      <c r="AA31" s="464"/>
      <c r="AB31" s="34"/>
      <c r="AC31" s="34"/>
      <c r="AD31" s="463"/>
      <c r="AE31" s="460"/>
      <c r="AF31" s="464"/>
      <c r="AG31" s="34"/>
      <c r="AH31" s="34"/>
      <c r="AI31" s="460"/>
      <c r="AJ31" s="460"/>
      <c r="AK31" s="464"/>
      <c r="AL31" s="34"/>
      <c r="AM31" s="34"/>
      <c r="AN31" s="460"/>
      <c r="AO31" s="460"/>
      <c r="AP31" s="464"/>
      <c r="AQ31" s="34"/>
      <c r="AR31" s="34"/>
      <c r="AS31" s="42" t="s">
        <v>170</v>
      </c>
      <c r="AT31" s="386"/>
      <c r="AU31" s="460"/>
      <c r="AV31" s="464"/>
      <c r="AW31" s="34"/>
      <c r="AX31" s="34"/>
      <c r="AY31" s="460"/>
      <c r="AZ31" s="460"/>
      <c r="BA31" s="464"/>
      <c r="BB31" s="34"/>
      <c r="BC31" s="34"/>
      <c r="BD31" s="463"/>
      <c r="BE31" s="460"/>
      <c r="BF31" s="464"/>
      <c r="BG31" s="34"/>
      <c r="BH31" s="34"/>
      <c r="BI31" s="460"/>
      <c r="BJ31" s="460"/>
      <c r="BK31" s="464"/>
      <c r="BL31" s="34"/>
      <c r="BM31" s="34"/>
      <c r="BN31" s="460"/>
      <c r="BO31" s="460"/>
      <c r="BP31" s="464"/>
      <c r="BQ31" s="34"/>
      <c r="BR31" s="34"/>
      <c r="BS31" s="42" t="s">
        <v>170</v>
      </c>
      <c r="BT31" s="386"/>
      <c r="BU31" s="460"/>
      <c r="BV31" s="464"/>
      <c r="BW31" s="34"/>
      <c r="BX31" s="34"/>
      <c r="BY31" s="460"/>
      <c r="BZ31" s="460"/>
      <c r="CA31" s="464"/>
      <c r="CB31" s="34"/>
      <c r="CC31" s="34"/>
      <c r="CD31" s="463"/>
      <c r="CE31" s="460"/>
      <c r="CF31" s="464"/>
      <c r="CG31" s="34"/>
      <c r="CH31" s="34"/>
      <c r="CI31" s="460"/>
      <c r="CJ31" s="460"/>
      <c r="CK31" s="464"/>
      <c r="CL31" s="34"/>
      <c r="CM31" s="34"/>
      <c r="CN31" s="460"/>
      <c r="CO31" s="460"/>
      <c r="CP31" s="464"/>
      <c r="CQ31" s="34"/>
      <c r="CR31" s="34"/>
      <c r="CS31" s="42" t="s">
        <v>170</v>
      </c>
      <c r="CT31" s="386"/>
      <c r="CU31" s="460"/>
      <c r="CV31" s="464"/>
      <c r="CW31" s="34"/>
      <c r="CX31" s="34"/>
      <c r="CY31" s="460"/>
      <c r="CZ31" s="460"/>
      <c r="DA31" s="464"/>
      <c r="DB31" s="34"/>
      <c r="DC31" s="34"/>
      <c r="DD31" s="463"/>
      <c r="DE31" s="460"/>
      <c r="DF31" s="464"/>
      <c r="DG31" s="34"/>
      <c r="DH31" s="34"/>
      <c r="DI31" s="460"/>
      <c r="DJ31" s="460"/>
      <c r="DK31" s="464"/>
      <c r="DL31" s="34"/>
      <c r="DM31" s="34"/>
      <c r="DN31" s="461"/>
      <c r="DO31" s="460"/>
      <c r="DP31" s="464"/>
      <c r="DQ31" s="34"/>
      <c r="DR31" s="78"/>
      <c r="DU31" s="89" t="str">
        <f>IF(DU30=ROUND(($E$13*$I$77),0),"OK","WARNING!")</f>
        <v>OK</v>
      </c>
      <c r="DX31" s="89" t="str">
        <f>IF(DX30=ROUND(($E$19*$I$78),0),"OK","WARNING!")</f>
        <v>OK</v>
      </c>
      <c r="EA31" s="89" t="str">
        <f>IF(EA30=(ROUND($I$79*($E$29+$E$38+$E$47+$E$61+$E$70+$E$78+$E$88+$E$99+$E$108+$E$119+$E$126+$E$161+$E$162),0)),"OK","WARNING!")</f>
        <v>OK</v>
      </c>
      <c r="ED31" s="89" t="str">
        <f>IF(ED30=ROUND(($E$152*$I$80),0),"OK","WARNING!")</f>
        <v>OK</v>
      </c>
      <c r="EH31" s="89"/>
      <c r="EI31" s="15" t="str">
        <f>IF(EI30=ROUND(($E$38*$I$108),0),"OK","WARNING!")</f>
        <v>OK</v>
      </c>
      <c r="EJ31" s="15"/>
      <c r="EK31" s="15" t="str">
        <f>IF(EK14=ROUND(($E$47*$I$109),0),"OK","WARNING!")</f>
        <v>OK</v>
      </c>
      <c r="EL31" s="15"/>
      <c r="EM31" s="15" t="str">
        <f>IF(EM30=ROUND(($E$61*$I$110),0),"OK","WARNING!")</f>
        <v>OK</v>
      </c>
      <c r="EN31" s="15"/>
      <c r="EO31" s="15" t="str">
        <f>IF(EO30=ROUND(($E$70*$I$111),0),"OK","WARNING!")</f>
        <v>OK</v>
      </c>
      <c r="EP31" s="15"/>
      <c r="EQ31" s="15" t="str">
        <f>IF(EQ30=ROUND(($E$88*$I$112),0),"OK","WARNING!")</f>
        <v>OK</v>
      </c>
      <c r="ER31" s="15"/>
      <c r="ES31" s="15" t="str">
        <f>IF(ES30=ROUND(($E$99*$I$113),0),"OK","WARNING!")</f>
        <v>OK</v>
      </c>
      <c r="ET31" s="15"/>
      <c r="EU31" s="15" t="str">
        <f>IF(EU30=ROUND(($E$119*$I$114),0),"OK","WARNING!")</f>
        <v>OK</v>
      </c>
      <c r="EV31" s="15"/>
      <c r="EW31" s="15" t="str">
        <f>IF(EW14=ROUND(($E$152*$I$115),0),"OK","WARNING!")</f>
        <v>OK</v>
      </c>
      <c r="EX31" s="15"/>
      <c r="FM31" s="89" t="str">
        <f>IF(FM30=ROUND(($E$29+$E$70+$E$78+$E$88+$E$99+$E$108+$E$119+$E$126+$E$161+$E$162),0),"OK","WARNING!")</f>
        <v>OK</v>
      </c>
      <c r="FN31" s="89"/>
      <c r="FO31" s="89"/>
      <c r="FP31" s="89" t="str">
        <f>IF(FP30=ROUND($E$38,0),"OK","WARNING!")</f>
        <v>OK</v>
      </c>
      <c r="FS31" s="89" t="str">
        <f>IF(FS30=ROUND($E$47,0),"OK","WARNING!")</f>
        <v>OK</v>
      </c>
      <c r="FT31" s="89"/>
      <c r="FU31" s="89"/>
      <c r="FV31" s="89" t="str">
        <f>IF(FV30=ROUND($E$61,0),"OK","WARNING!")</f>
        <v>OK</v>
      </c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 t="str">
        <f>IF(GM30=ROUND($E$152+$EW$14+$EW$19+$EW$24,0),"OK","WARNING!")</f>
        <v>OK</v>
      </c>
      <c r="GN31" s="89"/>
      <c r="GO31" s="89"/>
      <c r="GP31" s="89" t="str">
        <f>IF(GP30=($EI$30+$EK$30+$EM$30+$EO$30+$EQ$30+$ES$30+$EU$30),"OK","WARNING!")</f>
        <v>OK</v>
      </c>
      <c r="GQ31" s="89" t="str">
        <f>IF($GQ$30=ROUND($E$29+$E$38+$E$47+$E$61+$E$70+$E$78+$E$88+$E$99+$E$108+$E$119+$E$126+$E$152+$E$161+$E$162+$EI$30+$EK$30+$EM$30+$EO$30+$EQ$30+$ES$30+$EU$30+$EW$30,0),"OK","WARNING!")</f>
        <v>OK</v>
      </c>
    </row>
    <row r="32" spans="1:199" ht="15.75">
      <c r="A32" s="9"/>
      <c r="B32" s="420"/>
      <c r="C32" s="424"/>
      <c r="D32" s="333" t="s">
        <v>51</v>
      </c>
      <c r="E32" s="132" t="s">
        <v>52</v>
      </c>
      <c r="G32" s="396" t="s">
        <v>171</v>
      </c>
      <c r="H32" s="440"/>
      <c r="I32" s="500">
        <v>25</v>
      </c>
      <c r="J32" s="203"/>
      <c r="K32" s="212" t="s">
        <v>172</v>
      </c>
      <c r="L32" s="211">
        <f>IF(MIN(K51:K89)&lt;=20,MIN(K51:K89),"NO PP!")</f>
        <v>12</v>
      </c>
      <c r="M32" s="207"/>
      <c r="N32" s="208"/>
      <c r="O32" s="208"/>
      <c r="P32" s="233"/>
      <c r="Q32" s="234"/>
      <c r="R32" s="113"/>
      <c r="S32" s="29" t="s">
        <v>173</v>
      </c>
      <c r="T32" s="386">
        <f>$I$7*$I$58*12</f>
        <v>109584</v>
      </c>
      <c r="U32" s="460">
        <f>T32/$I$7</f>
        <v>91.32</v>
      </c>
      <c r="V32" s="464">
        <f>IF($I$14="no",T32/(($I$7*$I$10)/100),T32/$T$1)</f>
        <v>0.473160621761658</v>
      </c>
      <c r="W32" s="47">
        <f>(T32/$T$13)*100</f>
        <v>2.8045337197808</v>
      </c>
      <c r="X32" s="47">
        <f>(T32/$T$36)*100</f>
        <v>3.150077956409348</v>
      </c>
      <c r="Y32" s="386">
        <f>$I$7*$I$58*12</f>
        <v>109584</v>
      </c>
      <c r="Z32" s="460">
        <f>Y32/$I$7</f>
        <v>91.32</v>
      </c>
      <c r="AA32" s="464">
        <f>IF($I$14="no",Y32/(($I$7*$I$10)/100),Y32/$Y$1)</f>
        <v>0.4684758631303545</v>
      </c>
      <c r="AB32" s="47">
        <f>(Y32/$Y$13)*100</f>
        <v>2.7788392245084976</v>
      </c>
      <c r="AC32" s="47">
        <f>(Y32/$Y$36)*100</f>
        <v>3.1419029325922625</v>
      </c>
      <c r="AD32" s="386">
        <f>$I$7*$I$58*12</f>
        <v>109584</v>
      </c>
      <c r="AE32" s="460">
        <f>AD32/$I$7</f>
        <v>91.32</v>
      </c>
      <c r="AF32" s="464">
        <f>IF($I$14="no",AD32/(($I$7*$I$10)/100),AD32/$AD$1)</f>
        <v>0.46383748824787574</v>
      </c>
      <c r="AG32" s="47">
        <f>(AD32/$AD$13)*100</f>
        <v>2.7533613025434738</v>
      </c>
      <c r="AH32" s="47">
        <f>(AD32/$AD$36)*100</f>
        <v>3.1336701940738565</v>
      </c>
      <c r="AI32" s="386">
        <f>$I$7*$I$58*12</f>
        <v>109584</v>
      </c>
      <c r="AJ32" s="460">
        <f>AI32/$I$7</f>
        <v>91.32</v>
      </c>
      <c r="AK32" s="464">
        <f>IF($I$14="no",AI32/(($I$7*$I$10)/100),AI32/$AI$1)</f>
        <v>0.45924503786918386</v>
      </c>
      <c r="AL32" s="47">
        <f>(AI32/$AI$13)*100</f>
        <v>2.7280984725897417</v>
      </c>
      <c r="AM32" s="47">
        <f>(AI32/$AI$36)*100</f>
        <v>3.1253798900535887</v>
      </c>
      <c r="AN32" s="386">
        <f>$I$7*$I$58*12</f>
        <v>109584</v>
      </c>
      <c r="AO32" s="460">
        <f>AN32/$I$7</f>
        <v>91.32</v>
      </c>
      <c r="AP32" s="464">
        <f>IF($I$14="no",AN32/(($I$7*$I$10)/100),AN32/$AN$1)</f>
        <v>0.45469805729622165</v>
      </c>
      <c r="AQ32" s="47">
        <f>(AN32/$AN$13)*100</f>
        <v>2.7030492571404703</v>
      </c>
      <c r="AR32" s="47">
        <f>(AN32/$AN$36)*100</f>
        <v>3.1170321789644273</v>
      </c>
      <c r="AS32" s="29" t="s">
        <v>173</v>
      </c>
      <c r="AT32" s="386">
        <f>$I$7*$I$58*12</f>
        <v>109584</v>
      </c>
      <c r="AU32" s="460">
        <f>AT32/$I$7</f>
        <v>91.32</v>
      </c>
      <c r="AV32" s="464">
        <f>IF($I$14="no",AT32/(($I$7*$I$10)/100),AT32/$AT$1)</f>
        <v>0.45019609633289276</v>
      </c>
      <c r="AW32" s="47">
        <f>(AT32/$AT$13)*100</f>
        <v>2.6782121825988505</v>
      </c>
      <c r="AX32" s="47">
        <f>(AT32/$AT$36)*100</f>
        <v>3.108627228531565</v>
      </c>
      <c r="AY32" s="386">
        <f>$I$7*$I$58*12</f>
        <v>109584</v>
      </c>
      <c r="AZ32" s="460">
        <f>AY32/$I$7</f>
        <v>91.32</v>
      </c>
      <c r="BA32" s="464">
        <f>IF($I$14="no",AY32/(($I$7*$I$10)/100),AY32/$AY$1)</f>
        <v>0.4457387092404879</v>
      </c>
      <c r="BB32" s="47">
        <f>(AY32/$AY$13)*100</f>
        <v>2.653585779396005</v>
      </c>
      <c r="BC32" s="47">
        <f>(AY32/$AY$36)*100</f>
        <v>3.1002218987407746</v>
      </c>
      <c r="BD32" s="386">
        <f>$I$7*$I$58*12</f>
        <v>109584</v>
      </c>
      <c r="BE32" s="460">
        <f>BD32/$I$7</f>
        <v>91.32</v>
      </c>
      <c r="BF32" s="464">
        <f>IF($I$14="no",BD32/(($I$7*$I$10)/100),BD32/$BD$1)</f>
        <v>0.44132545469355233</v>
      </c>
      <c r="BG32" s="47">
        <f>(BD32/$BD$13)*100</f>
        <v>2.6291685821059634</v>
      </c>
      <c r="BH32" s="47">
        <f>(BD32/$BD$36)*100</f>
        <v>3.0917124262256714</v>
      </c>
      <c r="BI32" s="386">
        <f>$I$7*$I$58*12</f>
        <v>109584</v>
      </c>
      <c r="BJ32" s="460">
        <f>BI32/$I$7</f>
        <v>91.32</v>
      </c>
      <c r="BK32" s="464">
        <f>IF($I$14="no",BI32/(($I$7*$I$10)/100),BI32/$BI$1)</f>
        <v>0.4369558957361904</v>
      </c>
      <c r="BL32" s="47">
        <f>(BI32/$BI$13)*100</f>
        <v>2.604959129557752</v>
      </c>
      <c r="BM32" s="47">
        <f>(BI32/$BI$36)*100</f>
        <v>3.0831462616555925</v>
      </c>
      <c r="BN32" s="386">
        <f>$I$7*$I$58*12</f>
        <v>109584</v>
      </c>
      <c r="BO32" s="460">
        <f>BN32/$I$7</f>
        <v>91.32</v>
      </c>
      <c r="BP32" s="464">
        <f>IF($I$14="no",BN32/(($I$7*$I$10)/100),BN32/$BN$1)</f>
        <v>0.4326295997388024</v>
      </c>
      <c r="BQ32" s="47">
        <f>(BN32/$BN$13)*100</f>
        <v>2.5809559649446174</v>
      </c>
      <c r="BR32" s="47">
        <f>(BN32/$BN$36)*100</f>
        <v>3.07452360921118</v>
      </c>
      <c r="BS32" s="29" t="s">
        <v>173</v>
      </c>
      <c r="BT32" s="386">
        <f>$I$7*$I$58*12</f>
        <v>109584</v>
      </c>
      <c r="BU32" s="460">
        <f>BT32/$I$7</f>
        <v>91.32</v>
      </c>
      <c r="BV32" s="464">
        <f>IF($I$14="no",BT32/(($I$7*$I$10)/100),BT32/$BT$1)</f>
        <v>0.42834613835524993</v>
      </c>
      <c r="BW32" s="47">
        <f>(BT32/$BT$13)*100</f>
        <v>2.557157635930424</v>
      </c>
      <c r="BX32" s="47">
        <f>(BT32/$BT$36)*100</f>
        <v>3.065844682611618</v>
      </c>
      <c r="BY32" s="386">
        <f>$I$7*$I$58*12</f>
        <v>109584</v>
      </c>
      <c r="BZ32" s="460">
        <f>BY32/$I$7</f>
        <v>91.32</v>
      </c>
      <c r="CA32" s="464">
        <f>IF($I$14="no",BY32/(($I$7*$I$10)/100),BY32/$BY$1)</f>
        <v>0.4241050874804455</v>
      </c>
      <c r="CB32" s="47">
        <f>(BY32/$BY$13)*100</f>
        <v>2.5335626947532655</v>
      </c>
      <c r="CC32" s="47">
        <f>(BY32/$BY$36)*100</f>
        <v>3.057109705156972</v>
      </c>
      <c r="CD32" s="386">
        <f>$I$7*$I$58*12</f>
        <v>109584</v>
      </c>
      <c r="CE32" s="460">
        <f>CD32/$I$7</f>
        <v>91.32</v>
      </c>
      <c r="CF32" s="464">
        <f>IF($I$14="no",CD32/(($I$7*$I$10)/100),CD32/$CD$1)</f>
        <v>0.4199060272083619</v>
      </c>
      <c r="CG32" s="47">
        <f>(CD32/$CD$13)*100</f>
        <v>2.5101696983263184</v>
      </c>
      <c r="CH32" s="47">
        <f>(CD32/$CD$36)*100</f>
        <v>3.0483189097675103</v>
      </c>
      <c r="CI32" s="386">
        <f>$I$7*$I$58*12</f>
        <v>109584</v>
      </c>
      <c r="CJ32" s="460">
        <f>CI32/$I$7</f>
        <v>91.32</v>
      </c>
      <c r="CK32" s="464">
        <f>IF($I$14="no",CI32/(($I$7*$I$10)/100),CI32/$CI$1)</f>
        <v>0.4157485417904573</v>
      </c>
      <c r="CL32" s="47">
        <f>(CI32/$CI$13)*100</f>
        <v>2.486977208335969</v>
      </c>
      <c r="CM32" s="47">
        <f>(CI32/$CI$36)*100</f>
        <v>3.0394725390199677</v>
      </c>
      <c r="CN32" s="386">
        <f>$I$7*$I$58*12</f>
        <v>109584</v>
      </c>
      <c r="CO32" s="460">
        <f>CN32/$I$7</f>
        <v>91.32</v>
      </c>
      <c r="CP32" s="464">
        <f>IF($I$14="no",CN32/(($I$7*$I$10)/100),CN32/$CN$1)</f>
        <v>0.4116322195945121</v>
      </c>
      <c r="CQ32" s="47">
        <f>(CN32/$CN$13)*100</f>
        <v>2.4639837913372586</v>
      </c>
      <c r="CR32" s="47">
        <f>(CN32/$CN$36)*100</f>
        <v>3.030570845180665</v>
      </c>
      <c r="CS32" s="29" t="s">
        <v>173</v>
      </c>
      <c r="CT32" s="386">
        <f>$I$7*$I$58*12</f>
        <v>109584</v>
      </c>
      <c r="CU32" s="460">
        <f>CT32/$I$7</f>
        <v>91.32</v>
      </c>
      <c r="CV32" s="464">
        <f>IF($I$14="no",CT32/(($I$7*$I$10)/100),CT32/$CT$1)</f>
        <v>0.4075566530638734</v>
      </c>
      <c r="CW32" s="47">
        <f>(CT32/$CT$13)*100</f>
        <v>2.4411880188466766</v>
      </c>
      <c r="CX32" s="47">
        <f>(CT32/$CT$36)*100</f>
        <v>3.0216140902354542</v>
      </c>
      <c r="CY32" s="386">
        <f>$I$7*$I$58*12</f>
        <v>109584</v>
      </c>
      <c r="CZ32" s="460">
        <f>CY32/$I$7</f>
        <v>91.32</v>
      </c>
      <c r="DA32" s="464">
        <f>IF($I$14="no",CY32/(($I$7*$I$10)/100),CY32/$CY$1)</f>
        <v>0.4035214386771024</v>
      </c>
      <c r="DB32" s="47">
        <f>(CY32/$CY$13)*100</f>
        <v>2.4185884674323255</v>
      </c>
      <c r="DC32" s="47">
        <f>(CY32/$CY$36)*100</f>
        <v>3.012602545916415</v>
      </c>
      <c r="DD32" s="386">
        <f>$I$7*$I$58*12</f>
        <v>109584</v>
      </c>
      <c r="DE32" s="460">
        <f>DD32/$I$7</f>
        <v>91.32</v>
      </c>
      <c r="DF32" s="464">
        <f>IF($I$14="no",DD32/(($I$7*$I$10)/100),DD32/$DD$1)</f>
        <v>0.3995261769080221</v>
      </c>
      <c r="DG32" s="47">
        <f>(DD32/$DD$13)*100</f>
        <v>2.3961837188015176</v>
      </c>
      <c r="DH32" s="47">
        <f>(DD32/$DD$36)*100</f>
        <v>3.0035364937252456</v>
      </c>
      <c r="DI32" s="386">
        <f>$I$7*$I$58*12</f>
        <v>109584</v>
      </c>
      <c r="DJ32" s="460">
        <f>DI32/$I$7</f>
        <v>91.32</v>
      </c>
      <c r="DK32" s="464">
        <f>IF($I$14="no",DI32/(($I$7*$I$10)/100),DI32/$DI$1)</f>
        <v>0.3955704721861605</v>
      </c>
      <c r="DL32" s="47">
        <f>(DI32/$DI$13)*100</f>
        <v>2.373972359885813</v>
      </c>
      <c r="DM32" s="47">
        <f>(DI32/$DI$36)*100</f>
        <v>2.9944162249533064</v>
      </c>
      <c r="DN32" s="457">
        <f>$I$7*$I$58*12</f>
        <v>109584</v>
      </c>
      <c r="DO32" s="460">
        <f>DN32/$I$7</f>
        <v>91.32</v>
      </c>
      <c r="DP32" s="464">
        <f>IF($I$14="no",DN32/(($I$7*$I$10)/100),DN32/$DN$1)</f>
        <v>0.39165393285758465</v>
      </c>
      <c r="DQ32" s="47">
        <f>(DN32/$DN$13)*100</f>
        <v>2.3519529829235437</v>
      </c>
      <c r="DR32" s="50">
        <f>(DN32/$DN$36)*100</f>
        <v>2.9852420406982505</v>
      </c>
      <c r="EA32" s="109"/>
      <c r="FM32" s="89"/>
      <c r="FN32" s="89"/>
      <c r="FO32" s="89"/>
      <c r="FP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</row>
    <row r="33" spans="1:199" ht="16.5" thickBot="1">
      <c r="A33" s="11" t="s">
        <v>63</v>
      </c>
      <c r="B33" s="421" t="s">
        <v>64</v>
      </c>
      <c r="C33" s="421" t="s">
        <v>65</v>
      </c>
      <c r="D33" s="374" t="s">
        <v>66</v>
      </c>
      <c r="E33" s="295" t="s">
        <v>66</v>
      </c>
      <c r="G33" s="394" t="s">
        <v>174</v>
      </c>
      <c r="H33" s="440"/>
      <c r="I33" s="505">
        <v>60</v>
      </c>
      <c r="J33" s="203"/>
      <c r="K33" s="235" t="s">
        <v>175</v>
      </c>
      <c r="L33" s="236">
        <f>IRR(M51:M71)</f>
        <v>0.09177138938848409</v>
      </c>
      <c r="M33" s="289"/>
      <c r="N33" s="233"/>
      <c r="O33" s="233"/>
      <c r="P33" s="233"/>
      <c r="Q33" s="234"/>
      <c r="R33" s="113"/>
      <c r="S33" s="42" t="s">
        <v>18</v>
      </c>
      <c r="T33" s="386"/>
      <c r="U33" s="460"/>
      <c r="V33" s="464"/>
      <c r="W33" s="47"/>
      <c r="X33" s="47"/>
      <c r="Y33" s="460"/>
      <c r="Z33" s="460"/>
      <c r="AA33" s="464"/>
      <c r="AB33" s="47"/>
      <c r="AC33" s="47"/>
      <c r="AD33" s="463"/>
      <c r="AE33" s="460"/>
      <c r="AF33" s="464"/>
      <c r="AG33" s="47"/>
      <c r="AH33" s="47"/>
      <c r="AI33" s="460"/>
      <c r="AJ33" s="460"/>
      <c r="AK33" s="464"/>
      <c r="AL33" s="47"/>
      <c r="AM33" s="47"/>
      <c r="AN33" s="460"/>
      <c r="AO33" s="460"/>
      <c r="AP33" s="464"/>
      <c r="AQ33" s="47"/>
      <c r="AR33" s="47"/>
      <c r="AS33" s="42" t="s">
        <v>18</v>
      </c>
      <c r="AT33" s="386"/>
      <c r="AU33" s="460"/>
      <c r="AV33" s="464"/>
      <c r="AW33" s="47"/>
      <c r="AX33" s="47"/>
      <c r="AY33" s="460"/>
      <c r="AZ33" s="460"/>
      <c r="BA33" s="464"/>
      <c r="BB33" s="47"/>
      <c r="BC33" s="47"/>
      <c r="BD33" s="463"/>
      <c r="BE33" s="460"/>
      <c r="BF33" s="464"/>
      <c r="BG33" s="47"/>
      <c r="BH33" s="47"/>
      <c r="BI33" s="460"/>
      <c r="BJ33" s="460"/>
      <c r="BK33" s="464"/>
      <c r="BL33" s="47"/>
      <c r="BM33" s="47"/>
      <c r="BN33" s="460"/>
      <c r="BO33" s="460"/>
      <c r="BP33" s="464"/>
      <c r="BQ33" s="47"/>
      <c r="BR33" s="47"/>
      <c r="BS33" s="42" t="s">
        <v>18</v>
      </c>
      <c r="BT33" s="386"/>
      <c r="BU33" s="460"/>
      <c r="BV33" s="464"/>
      <c r="BW33" s="47"/>
      <c r="BX33" s="47"/>
      <c r="BY33" s="460"/>
      <c r="BZ33" s="460"/>
      <c r="CA33" s="464"/>
      <c r="CB33" s="47"/>
      <c r="CC33" s="47"/>
      <c r="CD33" s="463"/>
      <c r="CE33" s="460"/>
      <c r="CF33" s="464"/>
      <c r="CG33" s="47"/>
      <c r="CH33" s="47"/>
      <c r="CI33" s="460"/>
      <c r="CJ33" s="460"/>
      <c r="CK33" s="464"/>
      <c r="CL33" s="47"/>
      <c r="CM33" s="47"/>
      <c r="CN33" s="460"/>
      <c r="CO33" s="460"/>
      <c r="CP33" s="464"/>
      <c r="CQ33" s="47"/>
      <c r="CR33" s="47"/>
      <c r="CS33" s="42" t="s">
        <v>18</v>
      </c>
      <c r="CT33" s="386"/>
      <c r="CU33" s="460"/>
      <c r="CV33" s="464"/>
      <c r="CW33" s="47"/>
      <c r="CX33" s="47"/>
      <c r="CY33" s="460"/>
      <c r="CZ33" s="460"/>
      <c r="DA33" s="464"/>
      <c r="DB33" s="47"/>
      <c r="DC33" s="47"/>
      <c r="DD33" s="463"/>
      <c r="DE33" s="460"/>
      <c r="DF33" s="464"/>
      <c r="DG33" s="47"/>
      <c r="DH33" s="47"/>
      <c r="DI33" s="460"/>
      <c r="DJ33" s="460"/>
      <c r="DK33" s="464"/>
      <c r="DL33" s="47"/>
      <c r="DM33" s="47"/>
      <c r="DN33" s="461"/>
      <c r="DO33" s="460"/>
      <c r="DP33" s="464"/>
      <c r="DQ33" s="47"/>
      <c r="DR33" s="50"/>
      <c r="DT33" s="58" t="s">
        <v>176</v>
      </c>
      <c r="DU33" s="14"/>
      <c r="DV33" s="14"/>
      <c r="DW33" s="14"/>
      <c r="DX33" s="14"/>
      <c r="DY33" s="14"/>
      <c r="DZ33" s="14"/>
      <c r="EA33" s="14"/>
      <c r="EB33" s="58"/>
      <c r="EC33" s="14"/>
      <c r="ED33" s="14"/>
      <c r="EE33" s="14"/>
      <c r="EF33" s="14"/>
      <c r="EG33" s="14"/>
      <c r="EH33" s="58" t="s">
        <v>177</v>
      </c>
      <c r="FH33" s="58" t="s">
        <v>178</v>
      </c>
      <c r="FM33" s="89"/>
      <c r="FN33" s="89"/>
      <c r="FO33" s="89"/>
      <c r="FP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</row>
    <row r="34" spans="1:249" ht="17.25" thickBot="1" thickTop="1">
      <c r="A34" s="479">
        <v>40</v>
      </c>
      <c r="B34" s="416" t="s">
        <v>179</v>
      </c>
      <c r="C34" s="411" t="s">
        <v>180</v>
      </c>
      <c r="D34" s="484">
        <v>1200</v>
      </c>
      <c r="E34" s="367">
        <f>D34*A34</f>
        <v>48000</v>
      </c>
      <c r="G34" s="396" t="s">
        <v>181</v>
      </c>
      <c r="H34" s="440"/>
      <c r="I34" s="505" t="s">
        <v>110</v>
      </c>
      <c r="J34" s="203"/>
      <c r="K34" s="153" t="s">
        <v>182</v>
      </c>
      <c r="L34" s="226">
        <f>$EA$59+$M$51+$T$122+$T$130+$T$137</f>
        <v>89572.82234948053</v>
      </c>
      <c r="M34" s="290"/>
      <c r="N34" s="209"/>
      <c r="O34" s="209"/>
      <c r="P34" s="209"/>
      <c r="Q34" s="210"/>
      <c r="R34" s="113"/>
      <c r="S34" s="29" t="s">
        <v>183</v>
      </c>
      <c r="T34" s="386">
        <f>(($A$10*$I$62)+($A$10*$I$63))*$I$61</f>
        <v>169807.05</v>
      </c>
      <c r="U34" s="460">
        <f>T34/$I$7</f>
        <v>141.505875</v>
      </c>
      <c r="V34" s="464">
        <f>IF($I$14="no",T34/(($I$7*$I$10)/100),T34/$T$1)</f>
        <v>0.7331910621761657</v>
      </c>
      <c r="W34" s="47">
        <f>(T34/$T$13)*100</f>
        <v>4.345794984500513</v>
      </c>
      <c r="X34" s="47">
        <f>(T34/$T$36)*100</f>
        <v>4.881236722951343</v>
      </c>
      <c r="Y34" s="386">
        <f>(($A$10*$I$62)+($A$10*$I$63))*$I$61</f>
        <v>169807.05</v>
      </c>
      <c r="Z34" s="460">
        <f>Y34/$I$7</f>
        <v>141.505875</v>
      </c>
      <c r="AA34" s="464">
        <f>IF($I$14="no",Y34/(($I$7*$I$10)/100),Y34/$Y$1)</f>
        <v>0.725931744728877</v>
      </c>
      <c r="AB34" s="47">
        <f>(Y34/$Y$13)*100</f>
        <v>4.305979806706048</v>
      </c>
      <c r="AC34" s="47">
        <f>(Y34/$Y$36)*100</f>
        <v>4.868569028050088</v>
      </c>
      <c r="AD34" s="386">
        <f>(($A$10*$I$62)+($A$10*$I$63))*$I$61</f>
        <v>169807.05</v>
      </c>
      <c r="AE34" s="460">
        <f>AD34/$I$7</f>
        <v>141.505875</v>
      </c>
      <c r="AF34" s="464">
        <f>IF($I$14="no",AD34/(($I$7*$I$10)/100),AD34/$AD$1)</f>
        <v>0.7187443017117594</v>
      </c>
      <c r="AG34" s="47">
        <f>(AD34/$AD$13)*100</f>
        <v>4.266500222377945</v>
      </c>
      <c r="AH34" s="47">
        <f>(AD34/$AD$36)*100</f>
        <v>4.85581190072099</v>
      </c>
      <c r="AI34" s="386">
        <f>(($A$10*$I$62)+($A$10*$I$63))*$I$61</f>
        <v>169807.05</v>
      </c>
      <c r="AJ34" s="460">
        <f>AI34/$I$7</f>
        <v>141.505875</v>
      </c>
      <c r="AK34" s="464">
        <f>IF($I$14="no",AI34/(($I$7*$I$10)/100),AI34/$AI$1)</f>
        <v>0.7116280214967915</v>
      </c>
      <c r="AL34" s="47">
        <f>(AI34/$AI$13)*100</f>
        <v>4.227353936158288</v>
      </c>
      <c r="AM34" s="47">
        <f>(AI34/$AI$36)*100</f>
        <v>4.842965572157653</v>
      </c>
      <c r="AN34" s="386">
        <f>(($A$10*$I$62)+($A$10*$I$63))*$I$61</f>
        <v>169807.05</v>
      </c>
      <c r="AO34" s="460">
        <f>AN34/$I$7</f>
        <v>141.505875</v>
      </c>
      <c r="AP34" s="464">
        <f>IF($I$14="no",AN34/(($I$7*$I$10)/100),AN34/$AN$1)</f>
        <v>0.7045821995017737</v>
      </c>
      <c r="AQ34" s="47">
        <f>(AN34/$AN$13)*100</f>
        <v>4.18853865856069</v>
      </c>
      <c r="AR34" s="47">
        <f>(AN34/$AN$36)*100</f>
        <v>4.830030287861561</v>
      </c>
      <c r="AS34" s="29" t="s">
        <v>183</v>
      </c>
      <c r="AT34" s="386">
        <f>(($A$10*$I$62)+($A$10*$I$63))*$I$61</f>
        <v>169807.05</v>
      </c>
      <c r="AU34" s="460">
        <f>AT34/$I$7</f>
        <v>141.505875</v>
      </c>
      <c r="AV34" s="464">
        <f>IF($I$14="no",AT34/(($I$7*$I$10)/100),AT34/$AT$1)</f>
        <v>0.697606138120568</v>
      </c>
      <c r="AW34" s="47">
        <f>(AT34/$AT$13)*100</f>
        <v>4.150052106157579</v>
      </c>
      <c r="AX34" s="47">
        <f>(AT34/$AT$36)*100</f>
        <v>4.817006307733071</v>
      </c>
      <c r="AY34" s="386">
        <f>(($A$10*$I$62)+($A$10*$I$63))*$I$61</f>
        <v>169807.05</v>
      </c>
      <c r="AZ34" s="460">
        <f>AY34/$I$7</f>
        <v>141.505875</v>
      </c>
      <c r="BA34" s="464">
        <f>IF($I$14="no",AY34/(($I$7*$I$10)/100),AY34/$AY$1)</f>
        <v>0.6906991466540279</v>
      </c>
      <c r="BB34" s="47">
        <f>(AY34/$AY$13)*100</f>
        <v>4.111892001762906</v>
      </c>
      <c r="BC34" s="47">
        <f>(AY34/$AY$36)*100</f>
        <v>4.803981739766476</v>
      </c>
      <c r="BD34" s="386">
        <f>(($A$10*$I$62)+($A$10*$I$63))*$I$61</f>
        <v>169807.05</v>
      </c>
      <c r="BE34" s="460">
        <f>BD34/$I$7</f>
        <v>141.505875</v>
      </c>
      <c r="BF34" s="464">
        <f>IF($I$14="no",BD34/(($I$7*$I$10)/100),BD34/$BD$1)</f>
        <v>0.6838605412416117</v>
      </c>
      <c r="BG34" s="47">
        <f>(BD34/$BD$13)*100</f>
        <v>4.074056074610311</v>
      </c>
      <c r="BH34" s="47">
        <f>(BD34/$BD$36)*100</f>
        <v>4.790795796336362</v>
      </c>
      <c r="BI34" s="386">
        <f>(($A$10*$I$62)+($A$10*$I$63))*$I$61</f>
        <v>169807.05</v>
      </c>
      <c r="BJ34" s="460">
        <f>BI34/$I$7</f>
        <v>141.505875</v>
      </c>
      <c r="BK34" s="464">
        <f>IF($I$14="no",BI34/(($I$7*$I$10)/100),BI34/$BI$1)</f>
        <v>0.6770896447936748</v>
      </c>
      <c r="BL34" s="47">
        <f>(BI34/$BI$13)*100</f>
        <v>4.036542060526807</v>
      </c>
      <c r="BM34" s="47">
        <f>(BI34/$BI$36)*100</f>
        <v>4.777522005130897</v>
      </c>
      <c r="BN34" s="386">
        <f>(($A$10*$I$62)+($A$10*$I$63))*$I$61</f>
        <v>169807.05</v>
      </c>
      <c r="BO34" s="460">
        <f>BN34/$I$7</f>
        <v>141.505875</v>
      </c>
      <c r="BP34" s="464">
        <f>IF($I$14="no",BN34/(($I$7*$I$10)/100),BN34/$BN$1)</f>
        <v>0.6703857869244306</v>
      </c>
      <c r="BQ34" s="47">
        <f>(BN34/$BN$13)*100</f>
        <v>3.9993477021020305</v>
      </c>
      <c r="BR34" s="47">
        <f>(BN34/$BN$36)*100</f>
        <v>4.764160682540364</v>
      </c>
      <c r="BS34" s="29" t="s">
        <v>183</v>
      </c>
      <c r="BT34" s="386">
        <f>(($A$10*$I$62)+($A$10*$I$63))*$I$61</f>
        <v>169807.05</v>
      </c>
      <c r="BU34" s="460">
        <f>BT34/$I$7</f>
        <v>141.505875</v>
      </c>
      <c r="BV34" s="464">
        <f>IF($I$14="no",BT34/(($I$7*$I$10)/100),BT34/$BT$1)</f>
        <v>0.6637483038855749</v>
      </c>
      <c r="BW34" s="47">
        <f>(BT34/$BT$13)*100</f>
        <v>3.962470748853111</v>
      </c>
      <c r="BX34" s="47">
        <f>(BT34/$BT$36)*100</f>
        <v>4.750712159735592</v>
      </c>
      <c r="BY34" s="386">
        <f>(($A$10*$I$62)+($A$10*$I$63))*$I$61</f>
        <v>169807.05</v>
      </c>
      <c r="BZ34" s="460">
        <f>BY34/$I$7</f>
        <v>141.505875</v>
      </c>
      <c r="CA34" s="464">
        <f>IF($I$14="no",BY34/(($I$7*$I$10)/100),BY34/$BY$1)</f>
        <v>0.6571765385005692</v>
      </c>
      <c r="CB34" s="47">
        <f>(BY34/$BY$13)*100</f>
        <v>3.9259089573852246</v>
      </c>
      <c r="CC34" s="47">
        <f>(BY34/$BY$36)*100</f>
        <v>4.737176782733567</v>
      </c>
      <c r="CD34" s="386">
        <f>(($A$10*$I$62)+($A$10*$I$63))*$I$61</f>
        <v>169807.05</v>
      </c>
      <c r="CE34" s="460">
        <f>CD34/$I$7</f>
        <v>141.505875</v>
      </c>
      <c r="CF34" s="464">
        <f>IF($I$14="no",CD34/(($I$7*$I$10)/100),CD34/$CD$1)</f>
        <v>0.6506698400995735</v>
      </c>
      <c r="CG34" s="47">
        <f>(CD34/$CD$13)*100</f>
        <v>3.8896600915478725</v>
      </c>
      <c r="CH34" s="47">
        <f>(CD34/$CD$36)*100</f>
        <v>4.723554912458361</v>
      </c>
      <c r="CI34" s="386">
        <f>(($A$10*$I$62)+($A$10*$I$63))*$I$61</f>
        <v>169807.05</v>
      </c>
      <c r="CJ34" s="460">
        <f>CI34/$I$7</f>
        <v>141.505875</v>
      </c>
      <c r="CK34" s="464">
        <f>IF($I$14="no",CI34/(($I$7*$I$10)/100),CI34/$CI$1)</f>
        <v>0.6442275644550233</v>
      </c>
      <c r="CL34" s="47">
        <f>(CI34/$CI$13)*100</f>
        <v>3.8537219225869306</v>
      </c>
      <c r="CM34" s="47">
        <f>(CI34/$CI$36)*100</f>
        <v>4.70984692479733</v>
      </c>
      <c r="CN34" s="386">
        <f>(($A$10*$I$62)+($A$10*$I$63))*$I$61</f>
        <v>169807.05</v>
      </c>
      <c r="CO34" s="460">
        <f>CN34/$I$7</f>
        <v>141.505875</v>
      </c>
      <c r="CP34" s="464">
        <f>IF($I$14="no",CN34/(($I$7*$I$10)/100),CN34/$CN$1)</f>
        <v>0.6378490737178447</v>
      </c>
      <c r="CQ34" s="47">
        <f>(CN34/$CN$13)*100</f>
        <v>3.8180922292925557</v>
      </c>
      <c r="CR34" s="47">
        <f>(CN34/$CN$36)*100</f>
        <v>4.696053210652425</v>
      </c>
      <c r="CS34" s="29" t="s">
        <v>183</v>
      </c>
      <c r="CT34" s="386">
        <f>(($A$10*$I$62)+($A$10*$I$63))*$I$61</f>
        <v>169807.05</v>
      </c>
      <c r="CU34" s="460">
        <f>CT34/$I$7</f>
        <v>141.505875</v>
      </c>
      <c r="CV34" s="464">
        <f>IF($I$14="no",CT34/(($I$7*$I$10)/100),CT34/$CT$1)</f>
        <v>0.6315337363543018</v>
      </c>
      <c r="CW34" s="47">
        <f>(CT34/$CT$13)*100</f>
        <v>3.7827687981429636</v>
      </c>
      <c r="CX34" s="47">
        <f>(CT34/$CT$36)*100</f>
        <v>4.682174175986606</v>
      </c>
      <c r="CY34" s="386">
        <f>(($A$10*$I$62)+($A$10*$I$63))*$I$61</f>
        <v>169807.05</v>
      </c>
      <c r="CZ34" s="460">
        <f>CY34/$I$7</f>
        <v>141.505875</v>
      </c>
      <c r="DA34" s="464">
        <f>IF($I$14="no",CY34/(($I$7*$I$10)/100),CY34/$CY$1)</f>
        <v>0.625280927083467</v>
      </c>
      <c r="DB34" s="47">
        <f>(CY34/$CY$13)*100</f>
        <v>3.747749423444154</v>
      </c>
      <c r="DC34" s="47">
        <f>(CY34/$CY$36)*100</f>
        <v>4.668210241865198</v>
      </c>
      <c r="DD34" s="386">
        <f>(($A$10*$I$62)+($A$10*$I$63))*$I$61</f>
        <v>169807.05</v>
      </c>
      <c r="DE34" s="460">
        <f>DD34/$I$7</f>
        <v>141.505875</v>
      </c>
      <c r="DF34" s="464">
        <f>IF($I$14="no",DD34/(($I$7*$I$10)/100),DD34/$DD$1)</f>
        <v>0.6190900268153138</v>
      </c>
      <c r="DG34" s="47">
        <f>(DD34/$DD$13)*100</f>
        <v>3.713031907465645</v>
      </c>
      <c r="DH34" s="47">
        <f>(DD34/$DD$36)*100</f>
        <v>4.654161844492147</v>
      </c>
      <c r="DI34" s="386">
        <f>(($A$10*$I$62)+($A$10*$I$63))*$I$61</f>
        <v>169807.05</v>
      </c>
      <c r="DJ34" s="460">
        <f>DI34/$I$7</f>
        <v>141.505875</v>
      </c>
      <c r="DK34" s="464">
        <f>IF($I$14="no",DI34/(($I$7*$I$10)/100),DI34/$DI$1)</f>
        <v>0.6129604225894196</v>
      </c>
      <c r="DL34" s="47">
        <f>(DI34/$DI$13)*100</f>
        <v>3.6786140605722393</v>
      </c>
      <c r="DM34" s="47">
        <f>(DI34/$DI$36)*100</f>
        <v>4.640029435241069</v>
      </c>
      <c r="DN34" s="457">
        <f>(($A$10*$I$62)+($A$10*$I$63))*$I$61</f>
        <v>169807.05</v>
      </c>
      <c r="DO34" s="460">
        <f>DN34/$I$7</f>
        <v>141.505875</v>
      </c>
      <c r="DP34" s="464">
        <f>IF($I$14="no",DN34/(($I$7*$I$10)/100),DN34/$DN$1)</f>
        <v>0.6068915075142769</v>
      </c>
      <c r="DQ34" s="47">
        <f>(DN34/$DN$13)*100</f>
        <v>3.6444937013519065</v>
      </c>
      <c r="DR34" s="50">
        <f>(DN34/$DN$36)*100</f>
        <v>4.625813480681028</v>
      </c>
      <c r="DT34" s="58" t="s">
        <v>184</v>
      </c>
      <c r="DX34" s="14"/>
      <c r="DY34" s="14"/>
      <c r="DZ34" s="14"/>
      <c r="EA34" s="14"/>
      <c r="EB34" s="80"/>
      <c r="EC34" s="75"/>
      <c r="ED34" s="80"/>
      <c r="EE34" s="80"/>
      <c r="EF34" s="80"/>
      <c r="EG34" s="80"/>
      <c r="EH34" s="59"/>
      <c r="EI34" s="60" t="s">
        <v>20</v>
      </c>
      <c r="EJ34" s="60" t="s">
        <v>20</v>
      </c>
      <c r="EK34" s="60" t="s">
        <v>20</v>
      </c>
      <c r="EL34" s="60" t="s">
        <v>21</v>
      </c>
      <c r="EM34" s="60" t="s">
        <v>21</v>
      </c>
      <c r="EN34" s="60" t="s">
        <v>21</v>
      </c>
      <c r="EO34" s="60" t="s">
        <v>22</v>
      </c>
      <c r="EP34" s="60" t="s">
        <v>22</v>
      </c>
      <c r="EQ34" s="60" t="s">
        <v>22</v>
      </c>
      <c r="ER34" s="60" t="s">
        <v>23</v>
      </c>
      <c r="ES34" s="60" t="s">
        <v>23</v>
      </c>
      <c r="ET34" s="60" t="s">
        <v>23</v>
      </c>
      <c r="EU34" s="60" t="s">
        <v>24</v>
      </c>
      <c r="EV34" s="60" t="s">
        <v>24</v>
      </c>
      <c r="EW34" s="60" t="s">
        <v>24</v>
      </c>
      <c r="EX34" s="60" t="s">
        <v>25</v>
      </c>
      <c r="EY34" s="60" t="s">
        <v>25</v>
      </c>
      <c r="EZ34" s="60" t="s">
        <v>25</v>
      </c>
      <c r="FA34" s="60" t="s">
        <v>26</v>
      </c>
      <c r="FB34" s="60" t="s">
        <v>26</v>
      </c>
      <c r="FC34" s="60" t="s">
        <v>26</v>
      </c>
      <c r="FD34" s="60" t="s">
        <v>18</v>
      </c>
      <c r="FE34" s="60" t="s">
        <v>18</v>
      </c>
      <c r="FF34" s="61" t="s">
        <v>18</v>
      </c>
      <c r="FH34" s="59"/>
      <c r="FI34" s="84" t="s">
        <v>45</v>
      </c>
      <c r="FJ34" s="84" t="s">
        <v>185</v>
      </c>
      <c r="FK34" s="84" t="s">
        <v>185</v>
      </c>
      <c r="FL34" s="84" t="s">
        <v>19</v>
      </c>
      <c r="FM34" s="84" t="s">
        <v>19</v>
      </c>
      <c r="FN34" s="84" t="s">
        <v>186</v>
      </c>
      <c r="FO34" s="84" t="s">
        <v>186</v>
      </c>
      <c r="FP34" s="84" t="s">
        <v>187</v>
      </c>
      <c r="FQ34" s="84" t="s">
        <v>188</v>
      </c>
      <c r="FR34" s="84" t="s">
        <v>185</v>
      </c>
      <c r="FS34" s="84" t="s">
        <v>185</v>
      </c>
      <c r="FT34" s="84" t="s">
        <v>189</v>
      </c>
      <c r="FU34" s="84" t="s">
        <v>19</v>
      </c>
      <c r="FV34" s="84" t="s">
        <v>19</v>
      </c>
      <c r="FW34" s="84" t="s">
        <v>186</v>
      </c>
      <c r="FX34" s="84" t="s">
        <v>186</v>
      </c>
      <c r="FY34" s="84" t="s">
        <v>187</v>
      </c>
      <c r="FZ34" s="84" t="s">
        <v>188</v>
      </c>
      <c r="GA34" s="84" t="s">
        <v>190</v>
      </c>
      <c r="GB34" s="84" t="s">
        <v>19</v>
      </c>
      <c r="GC34" s="84" t="s">
        <v>19</v>
      </c>
      <c r="GD34" s="84" t="s">
        <v>186</v>
      </c>
      <c r="GE34" s="84" t="s">
        <v>186</v>
      </c>
      <c r="GF34" s="84" t="s">
        <v>187</v>
      </c>
      <c r="GG34" s="84" t="s">
        <v>188</v>
      </c>
      <c r="GH34" s="84" t="s">
        <v>191</v>
      </c>
      <c r="GI34" s="84" t="s">
        <v>19</v>
      </c>
      <c r="GJ34" s="84" t="s">
        <v>19</v>
      </c>
      <c r="GK34" s="84" t="s">
        <v>186</v>
      </c>
      <c r="GL34" s="84" t="s">
        <v>186</v>
      </c>
      <c r="GM34" s="84" t="s">
        <v>187</v>
      </c>
      <c r="GN34" s="84" t="s">
        <v>188</v>
      </c>
      <c r="GO34" s="84" t="s">
        <v>192</v>
      </c>
      <c r="GP34" s="84" t="s">
        <v>19</v>
      </c>
      <c r="GQ34" s="84" t="s">
        <v>19</v>
      </c>
      <c r="GR34" s="84" t="s">
        <v>186</v>
      </c>
      <c r="GS34" s="84" t="s">
        <v>186</v>
      </c>
      <c r="GT34" s="84" t="s">
        <v>187</v>
      </c>
      <c r="GU34" s="84" t="s">
        <v>188</v>
      </c>
      <c r="GV34" s="84" t="s">
        <v>193</v>
      </c>
      <c r="GW34" s="84" t="s">
        <v>19</v>
      </c>
      <c r="GX34" s="84" t="s">
        <v>19</v>
      </c>
      <c r="GY34" s="84" t="s">
        <v>186</v>
      </c>
      <c r="GZ34" s="84" t="s">
        <v>186</v>
      </c>
      <c r="HA34" s="84" t="s">
        <v>187</v>
      </c>
      <c r="HB34" s="84" t="s">
        <v>188</v>
      </c>
      <c r="HC34" s="84" t="s">
        <v>194</v>
      </c>
      <c r="HD34" s="84" t="s">
        <v>19</v>
      </c>
      <c r="HE34" s="84" t="s">
        <v>19</v>
      </c>
      <c r="HF34" s="84" t="s">
        <v>186</v>
      </c>
      <c r="HG34" s="84" t="s">
        <v>186</v>
      </c>
      <c r="HH34" s="84" t="s">
        <v>187</v>
      </c>
      <c r="HI34" s="84" t="s">
        <v>188</v>
      </c>
      <c r="HJ34" s="84" t="s">
        <v>195</v>
      </c>
      <c r="HK34" s="84" t="s">
        <v>19</v>
      </c>
      <c r="HL34" s="84" t="s">
        <v>19</v>
      </c>
      <c r="HM34" s="84" t="s">
        <v>186</v>
      </c>
      <c r="HN34" s="84" t="s">
        <v>186</v>
      </c>
      <c r="HO34" s="84" t="s">
        <v>187</v>
      </c>
      <c r="HP34" s="84" t="s">
        <v>188</v>
      </c>
      <c r="HQ34" s="84" t="s">
        <v>196</v>
      </c>
      <c r="HR34" s="84" t="s">
        <v>19</v>
      </c>
      <c r="HS34" s="84" t="s">
        <v>19</v>
      </c>
      <c r="HT34" s="84" t="s">
        <v>186</v>
      </c>
      <c r="HU34" s="84" t="s">
        <v>186</v>
      </c>
      <c r="HV34" s="84" t="s">
        <v>187</v>
      </c>
      <c r="HW34" s="84" t="s">
        <v>188</v>
      </c>
      <c r="HX34" s="84" t="s">
        <v>197</v>
      </c>
      <c r="HY34" s="84" t="s">
        <v>19</v>
      </c>
      <c r="HZ34" s="84" t="s">
        <v>19</v>
      </c>
      <c r="IA34" s="84" t="s">
        <v>186</v>
      </c>
      <c r="IB34" s="84" t="s">
        <v>186</v>
      </c>
      <c r="IC34" s="84" t="s">
        <v>187</v>
      </c>
      <c r="ID34" s="84" t="s">
        <v>188</v>
      </c>
      <c r="IE34" s="84" t="s">
        <v>198</v>
      </c>
      <c r="IF34" s="84" t="s">
        <v>19</v>
      </c>
      <c r="IG34" s="84" t="s">
        <v>19</v>
      </c>
      <c r="IH34" s="84" t="s">
        <v>186</v>
      </c>
      <c r="II34" s="84" t="s">
        <v>186</v>
      </c>
      <c r="IJ34" s="84" t="s">
        <v>187</v>
      </c>
      <c r="IK34" s="84" t="s">
        <v>188</v>
      </c>
      <c r="IL34" s="84" t="s">
        <v>19</v>
      </c>
      <c r="IM34" s="84" t="s">
        <v>19</v>
      </c>
      <c r="IN34" s="84" t="s">
        <v>19</v>
      </c>
      <c r="IO34" s="85" t="s">
        <v>19</v>
      </c>
    </row>
    <row r="35" spans="1:249" ht="16.5" thickTop="1">
      <c r="A35" s="480">
        <v>165</v>
      </c>
      <c r="B35" s="412" t="s">
        <v>199</v>
      </c>
      <c r="C35" s="413" t="s">
        <v>200</v>
      </c>
      <c r="D35" s="485">
        <v>70</v>
      </c>
      <c r="E35" s="458">
        <f>D35*A35</f>
        <v>11550</v>
      </c>
      <c r="G35" s="26" t="s">
        <v>201</v>
      </c>
      <c r="H35" s="440"/>
      <c r="I35" s="131"/>
      <c r="J35" s="203"/>
      <c r="K35" s="266" t="s">
        <v>202</v>
      </c>
      <c r="L35" s="271"/>
      <c r="M35" s="272"/>
      <c r="N35" s="272"/>
      <c r="O35" s="272"/>
      <c r="P35" s="272"/>
      <c r="Q35" s="113"/>
      <c r="R35" s="113"/>
      <c r="S35" s="29" t="s">
        <v>203</v>
      </c>
      <c r="T35" s="386">
        <f>$I$7*$I$67*12</f>
        <v>47952</v>
      </c>
      <c r="U35" s="462">
        <f>T35/$I$7</f>
        <v>39.96</v>
      </c>
      <c r="V35" s="464">
        <f>IF($I$14="no",T35/(($I$7*$I$10)/100),T35/$T$1)</f>
        <v>0.20704663212435234</v>
      </c>
      <c r="W35" s="47">
        <f>(T35/$T$13)*100</f>
        <v>1.2272138353311515</v>
      </c>
      <c r="X35" s="47">
        <f>(T35/$T$36)*100</f>
        <v>1.3784178179820141</v>
      </c>
      <c r="Y35" s="386">
        <f>$I$7*$I$67*12</f>
        <v>47952</v>
      </c>
      <c r="Z35" s="462">
        <f>Y35/$I$7</f>
        <v>39.96</v>
      </c>
      <c r="AA35" s="464">
        <f>IF($I$14="no",Y35/(($I$7*$I$10)/100),Y35/$Y$1)</f>
        <v>0.20499666546965578</v>
      </c>
      <c r="AB35" s="47">
        <f>(Y35/$Y$13)*100</f>
        <v>1.2159703833920232</v>
      </c>
      <c r="AC35" s="47">
        <f>(Y35/$Y$36)*100</f>
        <v>1.3748405736573237</v>
      </c>
      <c r="AD35" s="386">
        <f>$I$7*$I$67*12</f>
        <v>47952</v>
      </c>
      <c r="AE35" s="462">
        <f>AD35/$I$7</f>
        <v>39.96</v>
      </c>
      <c r="AF35" s="464">
        <f>IF($I$14="no",AD35/(($I$7*$I$10)/100),AD35/$AD$1)</f>
        <v>0.20296699551451067</v>
      </c>
      <c r="AG35" s="47">
        <f>(AD35/$AD$13)*100</f>
        <v>1.2048217000617303</v>
      </c>
      <c r="AH35" s="47">
        <f>(AD35/$AD$36)*100</f>
        <v>1.3712380744107677</v>
      </c>
      <c r="AI35" s="386">
        <f>$I$7*$I$67*12</f>
        <v>47952</v>
      </c>
      <c r="AJ35" s="462">
        <f>AI35/$I$7</f>
        <v>39.96</v>
      </c>
      <c r="AK35" s="464">
        <f>IF($I$14="no",AI35/(($I$7*$I$10)/100),AI35/$AI$1)</f>
        <v>0.20095742130149571</v>
      </c>
      <c r="AL35" s="47">
        <f>(AI35/$AI$13)*100</f>
        <v>1.1937671371516214</v>
      </c>
      <c r="AM35" s="47">
        <f>(AI35/$AI$36)*100</f>
        <v>1.3676103855293629</v>
      </c>
      <c r="AN35" s="386">
        <f>$I$7*$I$67*12</f>
        <v>47952</v>
      </c>
      <c r="AO35" s="462">
        <f>AN35/$I$7</f>
        <v>39.96</v>
      </c>
      <c r="AP35" s="464">
        <f>IF($I$14="no",AN35/(($I$7*$I$10)/100),AN35/$AN$1)</f>
        <v>0.19896774386286703</v>
      </c>
      <c r="AQ35" s="47">
        <f>(AN35/$AN$13)*100</f>
        <v>1.1828060481311125</v>
      </c>
      <c r="AR35" s="47">
        <f>(AN35/$AN$36)*100</f>
        <v>1.3639575763405443</v>
      </c>
      <c r="AS35" s="29" t="s">
        <v>203</v>
      </c>
      <c r="AT35" s="386">
        <f>$I$7*$I$67*12</f>
        <v>47952</v>
      </c>
      <c r="AU35" s="462">
        <f>AT35/$I$7</f>
        <v>39.96</v>
      </c>
      <c r="AV35" s="464">
        <f>IF($I$14="no",AT35/(($I$7*$I$10)/100),AT35/$AT$1)</f>
        <v>0.19699776620085846</v>
      </c>
      <c r="AW35" s="47">
        <f>(AT35/$AT$13)*100</f>
        <v>1.1719377881805746</v>
      </c>
      <c r="AX35" s="47">
        <f>(AT35/$AT$36)*100</f>
        <v>1.3602797202378596</v>
      </c>
      <c r="AY35" s="386">
        <f>$I$7*$I$67*12</f>
        <v>47952</v>
      </c>
      <c r="AZ35" s="462">
        <f>AY35/$I$7</f>
        <v>39.96</v>
      </c>
      <c r="BA35" s="464">
        <f>IF($I$14="no",AY35/(($I$7*$I$10)/100),AY35/$AY$1)</f>
        <v>0.1950472932681767</v>
      </c>
      <c r="BB35" s="47">
        <f>(AY35/$AY$13)*100</f>
        <v>1.1611617142429298</v>
      </c>
      <c r="BC35" s="47">
        <f>(AY35/$AY$36)*100</f>
        <v>1.356601698134925</v>
      </c>
      <c r="BD35" s="386">
        <f>$I$7*$I$67*12</f>
        <v>47952</v>
      </c>
      <c r="BE35" s="462">
        <f>BD35/$I$7</f>
        <v>39.96</v>
      </c>
      <c r="BF35" s="464">
        <f>IF($I$14="no",BD35/(($I$7*$I$10)/100),BD35/$BD$1)</f>
        <v>0.1931161319486898</v>
      </c>
      <c r="BG35" s="47">
        <f>(BD35/$BD$13)*100</f>
        <v>1.1504771850739628</v>
      </c>
      <c r="BH35" s="47">
        <f>(BD35/$BD$36)*100</f>
        <v>1.352878105036989</v>
      </c>
      <c r="BI35" s="386">
        <f>$I$7*$I$67*12</f>
        <v>47952</v>
      </c>
      <c r="BJ35" s="462">
        <f>BI35/$I$7</f>
        <v>39.96</v>
      </c>
      <c r="BK35" s="464">
        <f>IF($I$14="no",BI35/(($I$7*$I$10)/100),BI35/$BI$1)</f>
        <v>0.1912040910383067</v>
      </c>
      <c r="BL35" s="47">
        <f>(BI35/$BI$13)*100</f>
        <v>1.1398835612913687</v>
      </c>
      <c r="BM35" s="47">
        <f>(BI35/$BI$36)*100</f>
        <v>1.3491297045089519</v>
      </c>
      <c r="BN35" s="386">
        <f>$I$7*$I$67*12</f>
        <v>47952</v>
      </c>
      <c r="BO35" s="462">
        <f>BN35/$I$7</f>
        <v>39.96</v>
      </c>
      <c r="BP35" s="464">
        <f>IF($I$14="no",BN35/(($I$7*$I$10)/100),BN35/$BN$1)</f>
        <v>0.18931098122604625</v>
      </c>
      <c r="BQ35" s="47">
        <f>(BN35/$BN$13)*100</f>
        <v>1.1293802054225461</v>
      </c>
      <c r="BR35" s="47">
        <f>(BN35/$BN$36)*100</f>
        <v>1.3453565858966137</v>
      </c>
      <c r="BS35" s="29" t="s">
        <v>203</v>
      </c>
      <c r="BT35" s="386">
        <f>$I$7*$I$67*12</f>
        <v>47952</v>
      </c>
      <c r="BU35" s="462">
        <f>BT35/$I$7</f>
        <v>39.96</v>
      </c>
      <c r="BV35" s="464">
        <f>IF($I$14="no",BT35/(($I$7*$I$10)/100),BT35/$BT$1)</f>
        <v>0.18743661507529333</v>
      </c>
      <c r="BW35" s="47">
        <f>(BT35/$BT$13)*100</f>
        <v>1.1189664819511578</v>
      </c>
      <c r="BX35" s="47">
        <f>(BT35/$BT$36)*100</f>
        <v>1.3415588427196699</v>
      </c>
      <c r="BY35" s="386">
        <f>$I$7*$I$67*12</f>
        <v>47952</v>
      </c>
      <c r="BZ35" s="462">
        <f>BY35/$I$7</f>
        <v>39.96</v>
      </c>
      <c r="CA35" s="464">
        <f>IF($I$14="no",BY35/(($I$7*$I$10)/100),BY35/$BY$1)</f>
        <v>0.18558080700524096</v>
      </c>
      <c r="CB35" s="47">
        <f>(BY35/$BY$13)*100</f>
        <v>1.1086417573624672</v>
      </c>
      <c r="CC35" s="47">
        <f>(BY35/$BY$36)*100</f>
        <v>1.3377365726902388</v>
      </c>
      <c r="CD35" s="386">
        <f>$I$7*$I$67*12</f>
        <v>47952</v>
      </c>
      <c r="CE35" s="462">
        <f>CD35/$I$7</f>
        <v>39.96</v>
      </c>
      <c r="CF35" s="464">
        <f>IF($I$14="no",CD35/(($I$7*$I$10)/100),CD35/$CD$1)</f>
        <v>0.18374337327251578</v>
      </c>
      <c r="CG35" s="47">
        <f>(CD35/$CD$13)*100</f>
        <v>1.0984054001874692</v>
      </c>
      <c r="CH35" s="47">
        <f>(CD35/$CD$36)*100</f>
        <v>1.333889877730067</v>
      </c>
      <c r="CI35" s="386">
        <f>$I$7*$I$67*12</f>
        <v>47952</v>
      </c>
      <c r="CJ35" s="462">
        <f>CI35/$I$7</f>
        <v>39.96</v>
      </c>
      <c r="CK35" s="464">
        <f>IF($I$14="no",CI35/(($I$7*$I$10)/100),CI35/$CI$1)</f>
        <v>0.1819241319529859</v>
      </c>
      <c r="CL35" s="47">
        <f>(CI35/$CI$13)*100</f>
        <v>1.0882567810458312</v>
      </c>
      <c r="CM35" s="47">
        <f>(CI35/$CI$36)*100</f>
        <v>1.3300188639863986</v>
      </c>
      <c r="CN35" s="386">
        <f>$I$7*$I$67*12</f>
        <v>47952</v>
      </c>
      <c r="CO35" s="462">
        <f>CN35/$I$7</f>
        <v>39.96</v>
      </c>
      <c r="CP35" s="464">
        <f>IF($I$14="no",CN35/(($I$7*$I$10)/100),CN35/$CN$1)</f>
        <v>0.1801229029237484</v>
      </c>
      <c r="CQ35" s="47">
        <f>(CN35/$CN$13)*100</f>
        <v>1.0781952726876571</v>
      </c>
      <c r="CR35" s="47">
        <f>(CN35/$CN$36)*100</f>
        <v>1.326123641846467</v>
      </c>
      <c r="CS35" s="29" t="s">
        <v>203</v>
      </c>
      <c r="CT35" s="386">
        <f>$I$7*$I$67*12</f>
        <v>47952</v>
      </c>
      <c r="CU35" s="462">
        <f>CT35/$I$7</f>
        <v>39.96</v>
      </c>
      <c r="CV35" s="464">
        <f>IF($I$14="no",CT35/(($I$7*$I$10)/100),CT35/$CT$1)</f>
        <v>0.17833950784529545</v>
      </c>
      <c r="CW35" s="47">
        <f>(CT35/$CT$13)*100</f>
        <v>1.0682202500340912</v>
      </c>
      <c r="CX35" s="47">
        <f>(CT35/$CT$36)*100</f>
        <v>1.3222043259505993</v>
      </c>
      <c r="CY35" s="386">
        <f>$I$7*$I$67*12</f>
        <v>47952</v>
      </c>
      <c r="CZ35" s="462">
        <f>CY35/$I$7</f>
        <v>39.96</v>
      </c>
      <c r="DA35" s="464">
        <f>IF($I$14="no",CY35/(($I$7*$I$10)/100),CY35/$CY$1)</f>
        <v>0.1765737701438569</v>
      </c>
      <c r="DB35" s="47">
        <f>(CY35/$CY$13)*100</f>
        <v>1.058331090216773</v>
      </c>
      <c r="DC35" s="47">
        <f>(CY35/$CY$36)*100</f>
        <v>1.3182610352038977</v>
      </c>
      <c r="DD35" s="386">
        <f>$I$7*$I$67*12</f>
        <v>47952</v>
      </c>
      <c r="DE35" s="462">
        <f>DD35/$I$7</f>
        <v>39.96</v>
      </c>
      <c r="DF35" s="464">
        <f>IF($I$14="no",DD35/(($I$7*$I$10)/100),DD35/$DD$1)</f>
        <v>0.17482551499391769</v>
      </c>
      <c r="DG35" s="47">
        <f>(DD35/$DD$13)*100</f>
        <v>1.04852717261617</v>
      </c>
      <c r="DH35" s="47">
        <f>(DD35/$DD$36)*100</f>
        <v>1.314293892786474</v>
      </c>
      <c r="DI35" s="386">
        <f>$I$7*$I$67*12</f>
        <v>47952</v>
      </c>
      <c r="DJ35" s="462">
        <f>DI35/$I$7</f>
        <v>39.96</v>
      </c>
      <c r="DK35" s="464">
        <f>IF($I$14="no",DI35/(($I$7*$I$10)/100),DI35/$DI$1)</f>
        <v>0.1730945693009086</v>
      </c>
      <c r="DL35" s="47">
        <f>(DI35/$DI$13)*100</f>
        <v>1.0388078788987853</v>
      </c>
      <c r="DM35" s="47">
        <f>(DI35/$DI$36)*100</f>
        <v>1.3103030261622222</v>
      </c>
      <c r="DN35" s="457">
        <f>$I$7*$I$67*12</f>
        <v>47952</v>
      </c>
      <c r="DO35" s="462">
        <f>DN35/$I$7</f>
        <v>39.96</v>
      </c>
      <c r="DP35" s="464">
        <f>IF($I$14="no",DN35/(($I$7*$I$10)/100),DN35/$DN$1)</f>
        <v>0.17138076168406793</v>
      </c>
      <c r="DQ35" s="47">
        <f>(DN35/$DN$13)*100</f>
        <v>1.0291725930532722</v>
      </c>
      <c r="DR35" s="50">
        <f>(DN35/$DN$36)*100</f>
        <v>1.3062885670860938</v>
      </c>
      <c r="DT35" s="59"/>
      <c r="DU35" s="60"/>
      <c r="DV35" s="60" t="s">
        <v>19</v>
      </c>
      <c r="DW35" s="60"/>
      <c r="DX35" s="60"/>
      <c r="DY35" s="60"/>
      <c r="DZ35" s="60"/>
      <c r="EA35" s="61"/>
      <c r="EB35" s="80"/>
      <c r="EC35" s="75"/>
      <c r="ED35" s="80"/>
      <c r="EE35" s="80"/>
      <c r="EF35" s="80"/>
      <c r="EG35" s="80"/>
      <c r="EH35" s="62"/>
      <c r="EI35" s="63" t="s">
        <v>40</v>
      </c>
      <c r="EJ35" s="63" t="s">
        <v>40</v>
      </c>
      <c r="EK35" s="63" t="s">
        <v>40</v>
      </c>
      <c r="EL35" s="63" t="s">
        <v>40</v>
      </c>
      <c r="EM35" s="63" t="s">
        <v>40</v>
      </c>
      <c r="EN35" s="63" t="s">
        <v>40</v>
      </c>
      <c r="EO35" s="63" t="s">
        <v>41</v>
      </c>
      <c r="EP35" s="63" t="s">
        <v>41</v>
      </c>
      <c r="EQ35" s="63" t="s">
        <v>41</v>
      </c>
      <c r="ER35" s="63" t="s">
        <v>42</v>
      </c>
      <c r="ES35" s="63" t="s">
        <v>42</v>
      </c>
      <c r="ET35" s="63" t="s">
        <v>42</v>
      </c>
      <c r="EU35" s="63" t="s">
        <v>42</v>
      </c>
      <c r="EV35" s="63" t="s">
        <v>42</v>
      </c>
      <c r="EW35" s="63" t="s">
        <v>42</v>
      </c>
      <c r="EX35" s="63" t="s">
        <v>42</v>
      </c>
      <c r="EY35" s="63" t="s">
        <v>42</v>
      </c>
      <c r="EZ35" s="63" t="s">
        <v>42</v>
      </c>
      <c r="FA35" s="63" t="s">
        <v>43</v>
      </c>
      <c r="FB35" s="63" t="s">
        <v>43</v>
      </c>
      <c r="FC35" s="63" t="s">
        <v>43</v>
      </c>
      <c r="FD35" s="63" t="s">
        <v>40</v>
      </c>
      <c r="FE35" s="63" t="s">
        <v>40</v>
      </c>
      <c r="FF35" s="64" t="s">
        <v>40</v>
      </c>
      <c r="FH35" s="62"/>
      <c r="FI35" s="86" t="s">
        <v>121</v>
      </c>
      <c r="FJ35" s="86" t="s">
        <v>204</v>
      </c>
      <c r="FK35" s="86" t="s">
        <v>205</v>
      </c>
      <c r="FL35" s="86" t="s">
        <v>204</v>
      </c>
      <c r="FM35" s="86" t="s">
        <v>205</v>
      </c>
      <c r="FN35" s="86" t="s">
        <v>206</v>
      </c>
      <c r="FO35" s="86" t="s">
        <v>206</v>
      </c>
      <c r="FP35" s="86" t="s">
        <v>207</v>
      </c>
      <c r="FQ35" s="86" t="s">
        <v>207</v>
      </c>
      <c r="FR35" s="86" t="s">
        <v>204</v>
      </c>
      <c r="FS35" s="86" t="s">
        <v>205</v>
      </c>
      <c r="FT35" s="86" t="s">
        <v>127</v>
      </c>
      <c r="FU35" s="86" t="s">
        <v>204</v>
      </c>
      <c r="FV35" s="86" t="s">
        <v>205</v>
      </c>
      <c r="FW35" s="86" t="s">
        <v>206</v>
      </c>
      <c r="FX35" s="86" t="s">
        <v>206</v>
      </c>
      <c r="FY35" s="86" t="s">
        <v>207</v>
      </c>
      <c r="FZ35" s="86" t="s">
        <v>207</v>
      </c>
      <c r="GA35" s="86" t="s">
        <v>127</v>
      </c>
      <c r="GB35" s="86" t="s">
        <v>204</v>
      </c>
      <c r="GC35" s="86" t="s">
        <v>205</v>
      </c>
      <c r="GD35" s="86" t="s">
        <v>206</v>
      </c>
      <c r="GE35" s="86" t="s">
        <v>206</v>
      </c>
      <c r="GF35" s="86" t="s">
        <v>207</v>
      </c>
      <c r="GG35" s="86" t="s">
        <v>207</v>
      </c>
      <c r="GH35" s="86" t="s">
        <v>127</v>
      </c>
      <c r="GI35" s="86" t="s">
        <v>204</v>
      </c>
      <c r="GJ35" s="86" t="s">
        <v>205</v>
      </c>
      <c r="GK35" s="86" t="s">
        <v>206</v>
      </c>
      <c r="GL35" s="86" t="s">
        <v>206</v>
      </c>
      <c r="GM35" s="86" t="s">
        <v>207</v>
      </c>
      <c r="GN35" s="86" t="s">
        <v>207</v>
      </c>
      <c r="GO35" s="86" t="s">
        <v>127</v>
      </c>
      <c r="GP35" s="86" t="s">
        <v>204</v>
      </c>
      <c r="GQ35" s="86" t="s">
        <v>205</v>
      </c>
      <c r="GR35" s="86" t="s">
        <v>206</v>
      </c>
      <c r="GS35" s="86" t="s">
        <v>206</v>
      </c>
      <c r="GT35" s="86" t="s">
        <v>207</v>
      </c>
      <c r="GU35" s="86" t="s">
        <v>207</v>
      </c>
      <c r="GV35" s="86" t="s">
        <v>127</v>
      </c>
      <c r="GW35" s="86" t="s">
        <v>204</v>
      </c>
      <c r="GX35" s="86" t="s">
        <v>205</v>
      </c>
      <c r="GY35" s="86" t="s">
        <v>206</v>
      </c>
      <c r="GZ35" s="86" t="s">
        <v>206</v>
      </c>
      <c r="HA35" s="86" t="s">
        <v>207</v>
      </c>
      <c r="HB35" s="86" t="s">
        <v>207</v>
      </c>
      <c r="HC35" s="86" t="s">
        <v>127</v>
      </c>
      <c r="HD35" s="86" t="s">
        <v>204</v>
      </c>
      <c r="HE35" s="86" t="s">
        <v>205</v>
      </c>
      <c r="HF35" s="86" t="s">
        <v>206</v>
      </c>
      <c r="HG35" s="86" t="s">
        <v>206</v>
      </c>
      <c r="HH35" s="86" t="s">
        <v>207</v>
      </c>
      <c r="HI35" s="86" t="s">
        <v>207</v>
      </c>
      <c r="HJ35" s="86" t="s">
        <v>127</v>
      </c>
      <c r="HK35" s="86" t="s">
        <v>204</v>
      </c>
      <c r="HL35" s="86" t="s">
        <v>205</v>
      </c>
      <c r="HM35" s="86" t="s">
        <v>206</v>
      </c>
      <c r="HN35" s="86" t="s">
        <v>206</v>
      </c>
      <c r="HO35" s="86" t="s">
        <v>207</v>
      </c>
      <c r="HP35" s="86" t="s">
        <v>207</v>
      </c>
      <c r="HQ35" s="86" t="s">
        <v>127</v>
      </c>
      <c r="HR35" s="86" t="s">
        <v>204</v>
      </c>
      <c r="HS35" s="86" t="s">
        <v>205</v>
      </c>
      <c r="HT35" s="86" t="s">
        <v>206</v>
      </c>
      <c r="HU35" s="86" t="s">
        <v>206</v>
      </c>
      <c r="HV35" s="86" t="s">
        <v>207</v>
      </c>
      <c r="HW35" s="86" t="s">
        <v>207</v>
      </c>
      <c r="HX35" s="86" t="s">
        <v>127</v>
      </c>
      <c r="HY35" s="86" t="s">
        <v>204</v>
      </c>
      <c r="HZ35" s="86" t="s">
        <v>205</v>
      </c>
      <c r="IA35" s="86" t="s">
        <v>206</v>
      </c>
      <c r="IB35" s="86" t="s">
        <v>206</v>
      </c>
      <c r="IC35" s="86" t="s">
        <v>207</v>
      </c>
      <c r="ID35" s="86" t="s">
        <v>207</v>
      </c>
      <c r="IE35" s="86" t="s">
        <v>127</v>
      </c>
      <c r="IF35" s="86" t="s">
        <v>204</v>
      </c>
      <c r="IG35" s="86" t="s">
        <v>205</v>
      </c>
      <c r="IH35" s="86" t="s">
        <v>206</v>
      </c>
      <c r="II35" s="86" t="s">
        <v>206</v>
      </c>
      <c r="IJ35" s="86" t="s">
        <v>207</v>
      </c>
      <c r="IK35" s="86" t="s">
        <v>207</v>
      </c>
      <c r="IL35" s="86" t="s">
        <v>27</v>
      </c>
      <c r="IM35" s="86" t="s">
        <v>206</v>
      </c>
      <c r="IN35" s="86" t="s">
        <v>207</v>
      </c>
      <c r="IO35" s="87" t="s">
        <v>207</v>
      </c>
    </row>
    <row r="36" spans="1:249" ht="16.5" thickBot="1">
      <c r="A36" s="480">
        <v>1</v>
      </c>
      <c r="B36" s="412" t="s">
        <v>208</v>
      </c>
      <c r="C36" s="413" t="s">
        <v>209</v>
      </c>
      <c r="D36" s="485">
        <v>15000</v>
      </c>
      <c r="E36" s="458">
        <f>D36*A36</f>
        <v>15000</v>
      </c>
      <c r="G36" s="394" t="s">
        <v>210</v>
      </c>
      <c r="H36" s="440"/>
      <c r="I36" s="506">
        <v>2000</v>
      </c>
      <c r="J36" s="203"/>
      <c r="K36" s="270" t="s">
        <v>211</v>
      </c>
      <c r="L36" s="272"/>
      <c r="M36" s="272"/>
      <c r="N36" s="272"/>
      <c r="O36" s="272"/>
      <c r="P36" s="272"/>
      <c r="Q36" s="113"/>
      <c r="R36" s="113"/>
      <c r="S36" s="43" t="s">
        <v>212</v>
      </c>
      <c r="T36" s="101">
        <f>SUM(T17:T35)</f>
        <v>3478771.05</v>
      </c>
      <c r="U36" s="170">
        <f>T36/$I$7</f>
        <v>2898.9758749999996</v>
      </c>
      <c r="V36" s="173">
        <f>IF($I$14="no",T36/(($I$7*$I$10)/100),T36/$T$1)</f>
        <v>15.020600388601036</v>
      </c>
      <c r="W36" s="178">
        <f>(T36/$T$13)*100</f>
        <v>89.03061316544621</v>
      </c>
      <c r="X36" s="178">
        <f>(T36/$T$36)*100</f>
        <v>100</v>
      </c>
      <c r="Y36" s="101">
        <f>IF($I$68="yes",SUM(Y17:Y35)*($I$69+1),SUM(Y17:Y35))</f>
        <v>3487822.5823987024</v>
      </c>
      <c r="Z36" s="170">
        <f>Y36/$I$7</f>
        <v>2906.5188186655855</v>
      </c>
      <c r="AA36" s="173">
        <f>IF($I$14="no",Y36/(($I$7*$I$10)/100),Y36/$Y$1)</f>
        <v>14.91057722600721</v>
      </c>
      <c r="AB36" s="178">
        <f>(Y36/$Y$13)*100</f>
        <v>88.4444645212443</v>
      </c>
      <c r="AC36" s="178">
        <f>(Y36/$Y$36)*100</f>
        <v>100</v>
      </c>
      <c r="AD36" s="101">
        <f>IF($I$68="yes",SUM(AD17:AD35)*($I$69+1),SUM(AD17:AD35))</f>
        <v>3496985.745571962</v>
      </c>
      <c r="AE36" s="170">
        <f>AD36/$I$7</f>
        <v>2914.154787976635</v>
      </c>
      <c r="AF36" s="173">
        <f>IF($I$14="no",AD36/(($I$7*$I$10)/100),AD36/$AD$1)</f>
        <v>14.80173277727336</v>
      </c>
      <c r="AG36" s="178">
        <f>(AD36/$AD$13)*100</f>
        <v>87.86378693426028</v>
      </c>
      <c r="AH36" s="178">
        <f>(AD36/$AD$36)*100</f>
        <v>100</v>
      </c>
      <c r="AI36" s="101">
        <f>IF($I$68="yes",SUM(AI17:AI35)*($I$69+1),SUM(AI17:AI35))</f>
        <v>3506261.7619300364</v>
      </c>
      <c r="AJ36" s="170">
        <f>AI36/$I$7</f>
        <v>2921.8848016083634</v>
      </c>
      <c r="AK36" s="173">
        <f>IF($I$14="no",AI36/(($I$7*$I$10)/100),AI36/$AI$1)</f>
        <v>14.694054931712941</v>
      </c>
      <c r="AL36" s="178">
        <f>(AI36/$AI$13)*100</f>
        <v>87.28853990747872</v>
      </c>
      <c r="AM36" s="178">
        <f>(AI36/$AI$36)*100</f>
        <v>100</v>
      </c>
      <c r="AN36" s="101">
        <f>IF($I$68="yes",SUM(AN17:AN35)*($I$69+1),SUM(AN17:AN35))</f>
        <v>3515651.867168312</v>
      </c>
      <c r="AO36" s="170">
        <f>AN36/$I$7</f>
        <v>2929.7098893069265</v>
      </c>
      <c r="AP36" s="173">
        <f>IF($I$14="no",AN36/(($I$7*$I$10)/100),AN36/$AN$1)</f>
        <v>14.587531702906134</v>
      </c>
      <c r="AQ36" s="178">
        <f>(AN36/$AN$13)*100</f>
        <v>86.71868309163575</v>
      </c>
      <c r="AR36" s="178">
        <f>(AN36/$AN$36)*100</f>
        <v>100</v>
      </c>
      <c r="AS36" s="43" t="s">
        <v>212</v>
      </c>
      <c r="AT36" s="101">
        <f>IF($I$68="yes",SUM(AT17:AT35)*($I$69+1),SUM(AT17:AT35))</f>
        <v>3525157.310410764</v>
      </c>
      <c r="AU36" s="170">
        <f>AT36/$I$7</f>
        <v>2937.63109200897</v>
      </c>
      <c r="AV36" s="173">
        <f>IF($I$14="no",AT36/(($I$7*$I$10)/100),AT36/$AT$1)</f>
        <v>14.482151227426316</v>
      </c>
      <c r="AW36" s="178">
        <f>(AT36/$AT$13)*100</f>
        <v>86.15417628777473</v>
      </c>
      <c r="AX36" s="178">
        <f>(AT36/$AT$36)*100</f>
        <v>100</v>
      </c>
      <c r="AY36" s="101">
        <f>IF($I$68="yes",SUM(AY17:AY35)*($I$69+1),SUM(AY17:AY35))</f>
        <v>3534714.7262107283</v>
      </c>
      <c r="AZ36" s="170">
        <f>AY36/$I$7</f>
        <v>2945.595605175607</v>
      </c>
      <c r="BA36" s="173">
        <f>IF($I$14="no",AY36/(($I$7*$I$10)/100),AY36/$AY$1)</f>
        <v>14.377638885188665</v>
      </c>
      <c r="BB36" s="178">
        <f>(AY36/$AY$13)*100</f>
        <v>85.59341447377747</v>
      </c>
      <c r="BC36" s="178">
        <f>(AY36/$AY$36)*100</f>
        <v>100</v>
      </c>
      <c r="BD36" s="101">
        <f>IF($I$68="yes",SUM(BD17:BD35)*($I$69+1),SUM(BD17:BD35))</f>
        <v>3544443.4957936546</v>
      </c>
      <c r="BE36" s="170">
        <f>BD36/$I$7</f>
        <v>2953.702913161379</v>
      </c>
      <c r="BF36" s="173">
        <f>IF($I$14="no",BD36/(($I$7*$I$10)/100),BD36/$BD$1)</f>
        <v>14.274466504386943</v>
      </c>
      <c r="BG36" s="178">
        <f>(BD36/$BD$13)*100</f>
        <v>85.0392345615282</v>
      </c>
      <c r="BH36" s="178">
        <f>(BD36/$BD$36)*100</f>
        <v>100</v>
      </c>
      <c r="BI36" s="101">
        <f>IF($I$68="yes",SUM(BI17:BI35)*($I$69+1),SUM(BI17:BI35))</f>
        <v>3554291.3212672374</v>
      </c>
      <c r="BJ36" s="170">
        <f>BI36/$I$7</f>
        <v>2961.9094343893644</v>
      </c>
      <c r="BK36" s="173">
        <f>IF($I$14="no",BI36/(($I$7*$I$10)/100),BI36/$BI$1)</f>
        <v>14.172402430936025</v>
      </c>
      <c r="BL36" s="178">
        <f>(BI36/$BI$13)*100</f>
        <v>84.4902871445008</v>
      </c>
      <c r="BM36" s="178">
        <f>(BI36/$BI$36)*100</f>
        <v>100</v>
      </c>
      <c r="BN36" s="101">
        <f>IF($I$68="yes",SUM(BN17:BN35)*($I$69+1),SUM(BN17:BN35))</f>
        <v>3564259.505820337</v>
      </c>
      <c r="BO36" s="170">
        <f>BN36/$I$7</f>
        <v>2970.216254850281</v>
      </c>
      <c r="BP36" s="173">
        <f>IF($I$14="no",BN36/(($I$7*$I$10)/100),BN36/$BN$1)</f>
        <v>14.071435276758233</v>
      </c>
      <c r="BQ36" s="178">
        <f>(BN36/$BN$13)*100</f>
        <v>83.94653263393884</v>
      </c>
      <c r="BR36" s="178">
        <f>(BN36/$BN$36)*100</f>
        <v>100</v>
      </c>
      <c r="BS36" s="43" t="s">
        <v>212</v>
      </c>
      <c r="BT36" s="101">
        <f>IF($I$68="yes",SUM(BT17:BT35)*($I$69+1),SUM(BT17:BT35))</f>
        <v>3574349.366800005</v>
      </c>
      <c r="BU36" s="170">
        <f>BT36/$I$7</f>
        <v>2978.6244723333375</v>
      </c>
      <c r="BV36" s="173">
        <f>IF($I$14="no",BT36/(($I$7*$I$10)/100),BT36/$BT$1)</f>
        <v>13.971553770635449</v>
      </c>
      <c r="BW36" s="178">
        <f>(BT36/$BT$13)*100</f>
        <v>83.40793160311458</v>
      </c>
      <c r="BX36" s="178">
        <f>(BT36/$BT$36)*100</f>
        <v>100</v>
      </c>
      <c r="BY36" s="101">
        <f>IF($I$68="yes",SUM(BY17:BY35)*($I$69+1),SUM(BY17:BY35))</f>
        <v>3584562.235864324</v>
      </c>
      <c r="BZ36" s="170">
        <f>BY36/$I$7</f>
        <v>2987.1351965536032</v>
      </c>
      <c r="CA36" s="173">
        <f>IF($I$14="no",BY36/(($I$7*$I$10)/100),BY36/$BY$1)</f>
        <v>13.87274675701143</v>
      </c>
      <c r="CB36" s="178">
        <f>(BY36/$BY$13)*100</f>
        <v>82.87444478945109</v>
      </c>
      <c r="CC36" s="178">
        <f>(BY36/$BY$36)*100</f>
        <v>100</v>
      </c>
      <c r="CD36" s="101">
        <f>IF($I$68="yes",SUM(CD17:CD35)*($I$69+1),SUM(CD17:CD35))</f>
        <v>3594899.459136897</v>
      </c>
      <c r="CE36" s="170">
        <f>CD36/$I$7</f>
        <v>2995.7495492807475</v>
      </c>
      <c r="CF36" s="173">
        <f>IF($I$14="no",CD36/(($I$7*$I$10)/100),CD36/$CD$1)</f>
        <v>13.77500319480639</v>
      </c>
      <c r="CG36" s="178">
        <f>(CD36/$CD$13)*100</f>
        <v>82.34603309657533</v>
      </c>
      <c r="CH36" s="178">
        <f>(CD36/$CD$36)*100</f>
        <v>100</v>
      </c>
      <c r="CI36" s="101">
        <f>IF($I$68="yes",SUM(CI17:CI35)*($I$69+1),SUM(CI17:CI35))</f>
        <v>3605362.397362988</v>
      </c>
      <c r="CJ36" s="170">
        <f>CI36/$I$7</f>
        <v>3004.4686644691565</v>
      </c>
      <c r="CK36" s="173">
        <f>IF($I$14="no",CI36/(($I$7*$I$10)/100),CI36/$CI$1)</f>
        <v>13.678312156243699</v>
      </c>
      <c r="CL36" s="178">
        <f>(CI36/$CI$13)*100</f>
        <v>81.8226575963031</v>
      </c>
      <c r="CM36" s="178">
        <f>(CI36/$CI$36)*100</f>
        <v>100</v>
      </c>
      <c r="CN36" s="101">
        <f>IF($I$68="yes",SUM(CN17:CN35)*($I$69+1),SUM(CN17:CN35))</f>
        <v>3615952.4260673486</v>
      </c>
      <c r="CO36" s="170">
        <f>CN36/$I$7</f>
        <v>3013.293688389457</v>
      </c>
      <c r="CP36" s="173">
        <f>IF($I$14="no",CN36/(($I$7*$I$10)/100),CN36/$CN$1)</f>
        <v>13.582662825688637</v>
      </c>
      <c r="CQ36" s="178">
        <f>(CN36/$CN$13)*100</f>
        <v>81.30427953055724</v>
      </c>
      <c r="CR36" s="178">
        <f>(CN36/$CN$36)*100</f>
        <v>100</v>
      </c>
      <c r="CS36" s="43" t="s">
        <v>212</v>
      </c>
      <c r="CT36" s="101">
        <f>IF($I$68="yes",SUM(CT17:CT35)*($I$69+1),SUM(CT17:CT35))</f>
        <v>3626670.9357137284</v>
      </c>
      <c r="CU36" s="170">
        <f>CT36/$I$7</f>
        <v>3022.22577976144</v>
      </c>
      <c r="CV36" s="173">
        <f>IF($I$14="no",CT36/(($I$7*$I$10)/100),CT36/$CT$1)</f>
        <v>13.488044498498988</v>
      </c>
      <c r="CW36" s="178">
        <f>(CT36/$CT$13)*100</f>
        <v>80.79086031321926</v>
      </c>
      <c r="CX36" s="178">
        <f>(CT36/$CT$36)*100</f>
        <v>100</v>
      </c>
      <c r="CY36" s="101">
        <f>IF($I$68="yes",SUM(CY17:CY35)*($I$69+1),SUM(CY17:CY35))</f>
        <v>3637519.3318661037</v>
      </c>
      <c r="CZ36" s="170">
        <f>CY36/$I$7</f>
        <v>3031.2661098884196</v>
      </c>
      <c r="DA36" s="173">
        <f>IF($I$14="no",CY36/(($I$7*$I$10)/100),CY36/$CY$1)</f>
        <v>13.394446579887415</v>
      </c>
      <c r="DB36" s="178">
        <f>(CY36/$CY$13)*100</f>
        <v>80.28236153191611</v>
      </c>
      <c r="DC36" s="178">
        <f>(CY36/$CY$36)*100</f>
        <v>100</v>
      </c>
      <c r="DD36" s="101">
        <f>IF($I$68="yes",SUM(DD17:DD35)*($I$69+1),SUM(DD17:DD35))</f>
        <v>3648499.035351638</v>
      </c>
      <c r="DE36" s="170">
        <f>DD36/$I$7</f>
        <v>3040.415862793032</v>
      </c>
      <c r="DF36" s="173">
        <f>IF($I$14="no",DD36/(($I$7*$I$10)/100),DD36/$DD$1)</f>
        <v>13.301858583795505</v>
      </c>
      <c r="DG36" s="178">
        <f>(DD36/$DD$13)*100</f>
        <v>79.77874494974301</v>
      </c>
      <c r="DH36" s="178">
        <f>(DD36/$DD$36)*100</f>
        <v>100</v>
      </c>
      <c r="DI36" s="101">
        <f>IF($I$68="yes",SUM(DI17:DI35)*($I$69+1),SUM(DI17:DI35))</f>
        <v>3659611.4824253866</v>
      </c>
      <c r="DJ36" s="170">
        <f>DI36/$I$7</f>
        <v>3049.6762353544887</v>
      </c>
      <c r="DK36" s="173">
        <f>IF($I$14="no",DI36/(($I$7*$I$10)/100),DI36/$DI$1)</f>
        <v>13.21027013177932</v>
      </c>
      <c r="DL36" s="178">
        <f>(DI36/$DI$13)*100</f>
        <v>79.27997250692268</v>
      </c>
      <c r="DM36" s="178">
        <f>(DI36/$DI$36)*100</f>
        <v>100</v>
      </c>
      <c r="DN36" s="105">
        <f>IF($I$68="yes",SUM(DN17:DN35)*($I$69+1),SUM(DN17:DN35))</f>
        <v>3670858.124936771</v>
      </c>
      <c r="DO36" s="170">
        <f>DN36/$I$7</f>
        <v>3059.0484374473094</v>
      </c>
      <c r="DP36" s="173">
        <f>IF($I$14="no",DN36/(($I$7*$I$10)/100),DN36/$DN$1)</f>
        <v>13.119670951906349</v>
      </c>
      <c r="DQ36" s="178">
        <f>(DN36/$DN$13)*100</f>
        <v>78.78600632240259</v>
      </c>
      <c r="DR36" s="190">
        <f>(DN36/$DN$36)*100</f>
        <v>100</v>
      </c>
      <c r="DT36" s="62"/>
      <c r="DU36" s="63"/>
      <c r="DV36" s="63" t="s">
        <v>213</v>
      </c>
      <c r="DW36" s="63" t="s">
        <v>214</v>
      </c>
      <c r="DX36" s="63"/>
      <c r="DY36" s="63" t="s">
        <v>215</v>
      </c>
      <c r="DZ36" s="63"/>
      <c r="EA36" s="64"/>
      <c r="EB36" s="80"/>
      <c r="EC36" s="77"/>
      <c r="ED36" s="80"/>
      <c r="EE36" s="80"/>
      <c r="EF36" s="80"/>
      <c r="EG36" s="80"/>
      <c r="EH36" s="65"/>
      <c r="EI36" s="63" t="s">
        <v>55</v>
      </c>
      <c r="EJ36" s="63" t="s">
        <v>56</v>
      </c>
      <c r="EK36" s="63" t="s">
        <v>19</v>
      </c>
      <c r="EL36" s="63" t="s">
        <v>55</v>
      </c>
      <c r="EM36" s="63" t="s">
        <v>56</v>
      </c>
      <c r="EN36" s="63" t="s">
        <v>19</v>
      </c>
      <c r="EO36" s="63" t="s">
        <v>55</v>
      </c>
      <c r="EP36" s="63" t="s">
        <v>56</v>
      </c>
      <c r="EQ36" s="63" t="s">
        <v>19</v>
      </c>
      <c r="ER36" s="63" t="s">
        <v>55</v>
      </c>
      <c r="ES36" s="63" t="s">
        <v>56</v>
      </c>
      <c r="ET36" s="63" t="s">
        <v>19</v>
      </c>
      <c r="EU36" s="63" t="s">
        <v>55</v>
      </c>
      <c r="EV36" s="63" t="s">
        <v>56</v>
      </c>
      <c r="EW36" s="63" t="s">
        <v>19</v>
      </c>
      <c r="EX36" s="63" t="s">
        <v>55</v>
      </c>
      <c r="EY36" s="63" t="s">
        <v>56</v>
      </c>
      <c r="EZ36" s="63" t="s">
        <v>19</v>
      </c>
      <c r="FA36" s="63" t="s">
        <v>55</v>
      </c>
      <c r="FB36" s="63" t="s">
        <v>56</v>
      </c>
      <c r="FC36" s="63" t="s">
        <v>19</v>
      </c>
      <c r="FD36" s="63" t="s">
        <v>55</v>
      </c>
      <c r="FE36" s="63" t="s">
        <v>56</v>
      </c>
      <c r="FF36" s="64" t="s">
        <v>19</v>
      </c>
      <c r="FH36" s="65"/>
      <c r="FI36" s="86" t="s">
        <v>216</v>
      </c>
      <c r="FJ36" s="86" t="s">
        <v>27</v>
      </c>
      <c r="FK36" s="86" t="s">
        <v>27</v>
      </c>
      <c r="FL36" s="86" t="s">
        <v>27</v>
      </c>
      <c r="FM36" s="86" t="s">
        <v>27</v>
      </c>
      <c r="FN36" s="86" t="s">
        <v>217</v>
      </c>
      <c r="FO36" s="86" t="s">
        <v>217</v>
      </c>
      <c r="FP36" s="86" t="s">
        <v>218</v>
      </c>
      <c r="FQ36" s="86" t="s">
        <v>219</v>
      </c>
      <c r="FR36" s="86" t="s">
        <v>27</v>
      </c>
      <c r="FS36" s="86" t="s">
        <v>27</v>
      </c>
      <c r="FT36" s="86" t="s">
        <v>216</v>
      </c>
      <c r="FU36" s="86" t="s">
        <v>27</v>
      </c>
      <c r="FV36" s="86" t="s">
        <v>27</v>
      </c>
      <c r="FW36" s="86" t="s">
        <v>217</v>
      </c>
      <c r="FX36" s="86" t="s">
        <v>217</v>
      </c>
      <c r="FY36" s="86" t="s">
        <v>218</v>
      </c>
      <c r="FZ36" s="86" t="s">
        <v>219</v>
      </c>
      <c r="GA36" s="86" t="s">
        <v>216</v>
      </c>
      <c r="GB36" s="86" t="s">
        <v>27</v>
      </c>
      <c r="GC36" s="86" t="s">
        <v>27</v>
      </c>
      <c r="GD36" s="86" t="s">
        <v>217</v>
      </c>
      <c r="GE36" s="86" t="s">
        <v>217</v>
      </c>
      <c r="GF36" s="86" t="s">
        <v>218</v>
      </c>
      <c r="GG36" s="86" t="s">
        <v>219</v>
      </c>
      <c r="GH36" s="86" t="s">
        <v>216</v>
      </c>
      <c r="GI36" s="86" t="s">
        <v>27</v>
      </c>
      <c r="GJ36" s="86" t="s">
        <v>27</v>
      </c>
      <c r="GK36" s="86" t="s">
        <v>217</v>
      </c>
      <c r="GL36" s="86" t="s">
        <v>217</v>
      </c>
      <c r="GM36" s="86" t="s">
        <v>218</v>
      </c>
      <c r="GN36" s="86" t="s">
        <v>219</v>
      </c>
      <c r="GO36" s="86" t="s">
        <v>216</v>
      </c>
      <c r="GP36" s="86" t="s">
        <v>27</v>
      </c>
      <c r="GQ36" s="86" t="s">
        <v>27</v>
      </c>
      <c r="GR36" s="86" t="s">
        <v>217</v>
      </c>
      <c r="GS36" s="86" t="s">
        <v>217</v>
      </c>
      <c r="GT36" s="86" t="s">
        <v>218</v>
      </c>
      <c r="GU36" s="86" t="s">
        <v>219</v>
      </c>
      <c r="GV36" s="86" t="s">
        <v>216</v>
      </c>
      <c r="GW36" s="86" t="s">
        <v>27</v>
      </c>
      <c r="GX36" s="86" t="s">
        <v>27</v>
      </c>
      <c r="GY36" s="86" t="s">
        <v>217</v>
      </c>
      <c r="GZ36" s="86" t="s">
        <v>217</v>
      </c>
      <c r="HA36" s="86" t="s">
        <v>218</v>
      </c>
      <c r="HB36" s="86" t="s">
        <v>219</v>
      </c>
      <c r="HC36" s="86" t="s">
        <v>216</v>
      </c>
      <c r="HD36" s="86" t="s">
        <v>27</v>
      </c>
      <c r="HE36" s="86" t="s">
        <v>27</v>
      </c>
      <c r="HF36" s="86" t="s">
        <v>217</v>
      </c>
      <c r="HG36" s="86" t="s">
        <v>217</v>
      </c>
      <c r="HH36" s="86" t="s">
        <v>218</v>
      </c>
      <c r="HI36" s="86" t="s">
        <v>219</v>
      </c>
      <c r="HJ36" s="86" t="s">
        <v>216</v>
      </c>
      <c r="HK36" s="86" t="s">
        <v>27</v>
      </c>
      <c r="HL36" s="86" t="s">
        <v>27</v>
      </c>
      <c r="HM36" s="86" t="s">
        <v>217</v>
      </c>
      <c r="HN36" s="86" t="s">
        <v>217</v>
      </c>
      <c r="HO36" s="86" t="s">
        <v>218</v>
      </c>
      <c r="HP36" s="86" t="s">
        <v>219</v>
      </c>
      <c r="HQ36" s="86" t="s">
        <v>216</v>
      </c>
      <c r="HR36" s="86" t="s">
        <v>27</v>
      </c>
      <c r="HS36" s="86" t="s">
        <v>27</v>
      </c>
      <c r="HT36" s="86" t="s">
        <v>217</v>
      </c>
      <c r="HU36" s="86" t="s">
        <v>217</v>
      </c>
      <c r="HV36" s="86" t="s">
        <v>218</v>
      </c>
      <c r="HW36" s="86" t="s">
        <v>219</v>
      </c>
      <c r="HX36" s="86" t="s">
        <v>216</v>
      </c>
      <c r="HY36" s="86" t="s">
        <v>27</v>
      </c>
      <c r="HZ36" s="86" t="s">
        <v>27</v>
      </c>
      <c r="IA36" s="86" t="s">
        <v>217</v>
      </c>
      <c r="IB36" s="86" t="s">
        <v>217</v>
      </c>
      <c r="IC36" s="86" t="s">
        <v>218</v>
      </c>
      <c r="ID36" s="86" t="s">
        <v>219</v>
      </c>
      <c r="IE36" s="86" t="s">
        <v>216</v>
      </c>
      <c r="IF36" s="86" t="s">
        <v>27</v>
      </c>
      <c r="IG36" s="86" t="s">
        <v>27</v>
      </c>
      <c r="IH36" s="86" t="s">
        <v>217</v>
      </c>
      <c r="II36" s="86" t="s">
        <v>217</v>
      </c>
      <c r="IJ36" s="86" t="s">
        <v>218</v>
      </c>
      <c r="IK36" s="86" t="s">
        <v>219</v>
      </c>
      <c r="IL36" s="86" t="s">
        <v>220</v>
      </c>
      <c r="IM36" s="86" t="s">
        <v>27</v>
      </c>
      <c r="IN36" s="86" t="s">
        <v>221</v>
      </c>
      <c r="IO36" s="87" t="s">
        <v>222</v>
      </c>
    </row>
    <row r="37" spans="1:249" ht="17.25" thickBot="1" thickTop="1">
      <c r="A37" s="481">
        <v>2</v>
      </c>
      <c r="B37" s="414" t="s">
        <v>223</v>
      </c>
      <c r="C37" s="415" t="s">
        <v>209</v>
      </c>
      <c r="D37" s="486">
        <v>2500</v>
      </c>
      <c r="E37" s="459">
        <f>D37*A37</f>
        <v>5000</v>
      </c>
      <c r="G37" s="26" t="s">
        <v>224</v>
      </c>
      <c r="H37" s="440"/>
      <c r="I37" s="132"/>
      <c r="J37" s="203"/>
      <c r="K37" s="270" t="s">
        <v>225</v>
      </c>
      <c r="L37" s="273"/>
      <c r="M37" s="273"/>
      <c r="N37" s="273"/>
      <c r="O37" s="273"/>
      <c r="P37" s="273"/>
      <c r="Q37" s="113"/>
      <c r="R37" s="113"/>
      <c r="S37" s="1" t="s">
        <v>9</v>
      </c>
      <c r="T37" s="44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1" t="s">
        <v>9</v>
      </c>
      <c r="AT37" s="46"/>
      <c r="AU37" s="45"/>
      <c r="AV37" s="45"/>
      <c r="AW37" s="45"/>
      <c r="AX37" s="45"/>
      <c r="AY37" s="46"/>
      <c r="AZ37" s="45"/>
      <c r="BA37" s="45"/>
      <c r="BB37" s="45"/>
      <c r="BC37" s="45"/>
      <c r="BD37" s="46"/>
      <c r="BE37" s="45"/>
      <c r="BF37" s="45"/>
      <c r="BG37" s="45"/>
      <c r="BH37" s="45"/>
      <c r="BI37" s="46"/>
      <c r="BJ37" s="45"/>
      <c r="BK37" s="45"/>
      <c r="BL37" s="45"/>
      <c r="BM37" s="45"/>
      <c r="BN37" s="46"/>
      <c r="BO37" s="45"/>
      <c r="BP37" s="45"/>
      <c r="BQ37" s="45"/>
      <c r="BR37" s="45"/>
      <c r="BS37" s="1" t="s">
        <v>9</v>
      </c>
      <c r="BT37" s="46"/>
      <c r="BU37" s="45"/>
      <c r="BV37" s="45"/>
      <c r="BW37" s="45"/>
      <c r="BX37" s="45"/>
      <c r="BY37" s="46"/>
      <c r="BZ37" s="45"/>
      <c r="CA37" s="45"/>
      <c r="CB37" s="45"/>
      <c r="CC37" s="45"/>
      <c r="CD37" s="46"/>
      <c r="CE37" s="45"/>
      <c r="CF37" s="45"/>
      <c r="CG37" s="45"/>
      <c r="CH37" s="45"/>
      <c r="CI37" s="46"/>
      <c r="CJ37" s="45"/>
      <c r="CK37" s="45"/>
      <c r="CL37" s="45"/>
      <c r="CM37" s="45"/>
      <c r="CN37" s="46"/>
      <c r="CO37" s="45"/>
      <c r="CP37" s="45"/>
      <c r="CQ37" s="45"/>
      <c r="CR37" s="45"/>
      <c r="CS37" s="1" t="s">
        <v>9</v>
      </c>
      <c r="CT37" s="46"/>
      <c r="CU37" s="45"/>
      <c r="CV37" s="45"/>
      <c r="CW37" s="45"/>
      <c r="CX37" s="45"/>
      <c r="CY37" s="46"/>
      <c r="CZ37" s="45"/>
      <c r="DA37" s="45"/>
      <c r="DB37" s="45"/>
      <c r="DC37" s="45"/>
      <c r="DD37" s="46"/>
      <c r="DE37" s="45"/>
      <c r="DF37" s="45"/>
      <c r="DG37" s="45"/>
      <c r="DH37" s="45"/>
      <c r="DI37" s="46"/>
      <c r="DJ37" s="45"/>
      <c r="DK37" s="45"/>
      <c r="DL37" s="45"/>
      <c r="DM37" s="45"/>
      <c r="DN37" s="46"/>
      <c r="DO37" s="45"/>
      <c r="DP37" s="45"/>
      <c r="DQ37" s="45"/>
      <c r="DR37" s="45"/>
      <c r="DT37" s="65"/>
      <c r="DU37" s="63" t="s">
        <v>19</v>
      </c>
      <c r="DV37" s="63" t="s">
        <v>226</v>
      </c>
      <c r="DW37" s="63" t="s">
        <v>203</v>
      </c>
      <c r="DX37" s="63" t="s">
        <v>227</v>
      </c>
      <c r="DY37" s="63" t="s">
        <v>228</v>
      </c>
      <c r="DZ37" s="63" t="s">
        <v>27</v>
      </c>
      <c r="EA37" s="64" t="s">
        <v>229</v>
      </c>
      <c r="EB37" s="80"/>
      <c r="EC37" s="77"/>
      <c r="ED37" s="80"/>
      <c r="EE37" s="80"/>
      <c r="EF37" s="80"/>
      <c r="EG37" s="80"/>
      <c r="EH37" s="66" t="s">
        <v>69</v>
      </c>
      <c r="EI37" s="67" t="s">
        <v>70</v>
      </c>
      <c r="EJ37" s="67" t="s">
        <v>70</v>
      </c>
      <c r="EK37" s="67" t="s">
        <v>70</v>
      </c>
      <c r="EL37" s="67" t="s">
        <v>70</v>
      </c>
      <c r="EM37" s="67" t="s">
        <v>70</v>
      </c>
      <c r="EN37" s="67" t="s">
        <v>70</v>
      </c>
      <c r="EO37" s="67" t="s">
        <v>70</v>
      </c>
      <c r="EP37" s="67" t="s">
        <v>70</v>
      </c>
      <c r="EQ37" s="67" t="s">
        <v>70</v>
      </c>
      <c r="ER37" s="67" t="s">
        <v>70</v>
      </c>
      <c r="ES37" s="67" t="s">
        <v>70</v>
      </c>
      <c r="ET37" s="67" t="s">
        <v>70</v>
      </c>
      <c r="EU37" s="67" t="s">
        <v>70</v>
      </c>
      <c r="EV37" s="67" t="s">
        <v>70</v>
      </c>
      <c r="EW37" s="67" t="s">
        <v>70</v>
      </c>
      <c r="EX37" s="67" t="s">
        <v>70</v>
      </c>
      <c r="EY37" s="67" t="s">
        <v>70</v>
      </c>
      <c r="EZ37" s="67" t="s">
        <v>70</v>
      </c>
      <c r="FA37" s="67" t="s">
        <v>70</v>
      </c>
      <c r="FB37" s="67" t="s">
        <v>70</v>
      </c>
      <c r="FC37" s="67" t="s">
        <v>70</v>
      </c>
      <c r="FD37" s="67" t="s">
        <v>70</v>
      </c>
      <c r="FE37" s="67" t="s">
        <v>70</v>
      </c>
      <c r="FF37" s="68" t="s">
        <v>70</v>
      </c>
      <c r="FH37" s="66" t="s">
        <v>69</v>
      </c>
      <c r="FI37" s="88" t="s">
        <v>230</v>
      </c>
      <c r="FJ37" s="88" t="s">
        <v>231</v>
      </c>
      <c r="FK37" s="88" t="s">
        <v>231</v>
      </c>
      <c r="FL37" s="88" t="s">
        <v>220</v>
      </c>
      <c r="FM37" s="88" t="s">
        <v>220</v>
      </c>
      <c r="FN37" s="88" t="s">
        <v>232</v>
      </c>
      <c r="FO37" s="88" t="s">
        <v>233</v>
      </c>
      <c r="FP37" s="88" t="s">
        <v>233</v>
      </c>
      <c r="FQ37" s="88" t="s">
        <v>232</v>
      </c>
      <c r="FR37" s="88" t="s">
        <v>231</v>
      </c>
      <c r="FS37" s="88" t="s">
        <v>231</v>
      </c>
      <c r="FT37" s="88" t="s">
        <v>230</v>
      </c>
      <c r="FU37" s="88" t="s">
        <v>220</v>
      </c>
      <c r="FV37" s="88" t="s">
        <v>220</v>
      </c>
      <c r="FW37" s="88" t="s">
        <v>232</v>
      </c>
      <c r="FX37" s="88" t="s">
        <v>233</v>
      </c>
      <c r="FY37" s="88" t="s">
        <v>233</v>
      </c>
      <c r="FZ37" s="88" t="s">
        <v>232</v>
      </c>
      <c r="GA37" s="88" t="s">
        <v>230</v>
      </c>
      <c r="GB37" s="88" t="s">
        <v>220</v>
      </c>
      <c r="GC37" s="88" t="s">
        <v>220</v>
      </c>
      <c r="GD37" s="88" t="s">
        <v>232</v>
      </c>
      <c r="GE37" s="88" t="s">
        <v>233</v>
      </c>
      <c r="GF37" s="88" t="s">
        <v>233</v>
      </c>
      <c r="GG37" s="88" t="s">
        <v>232</v>
      </c>
      <c r="GH37" s="88" t="s">
        <v>230</v>
      </c>
      <c r="GI37" s="88" t="s">
        <v>220</v>
      </c>
      <c r="GJ37" s="88" t="s">
        <v>220</v>
      </c>
      <c r="GK37" s="88" t="s">
        <v>232</v>
      </c>
      <c r="GL37" s="88" t="s">
        <v>233</v>
      </c>
      <c r="GM37" s="88" t="s">
        <v>233</v>
      </c>
      <c r="GN37" s="88" t="s">
        <v>232</v>
      </c>
      <c r="GO37" s="88" t="s">
        <v>230</v>
      </c>
      <c r="GP37" s="88" t="s">
        <v>220</v>
      </c>
      <c r="GQ37" s="88" t="s">
        <v>220</v>
      </c>
      <c r="GR37" s="88" t="s">
        <v>232</v>
      </c>
      <c r="GS37" s="88" t="s">
        <v>233</v>
      </c>
      <c r="GT37" s="88" t="s">
        <v>233</v>
      </c>
      <c r="GU37" s="88" t="s">
        <v>232</v>
      </c>
      <c r="GV37" s="88" t="s">
        <v>230</v>
      </c>
      <c r="GW37" s="88" t="s">
        <v>220</v>
      </c>
      <c r="GX37" s="88" t="s">
        <v>220</v>
      </c>
      <c r="GY37" s="88" t="s">
        <v>232</v>
      </c>
      <c r="GZ37" s="88" t="s">
        <v>233</v>
      </c>
      <c r="HA37" s="88" t="s">
        <v>233</v>
      </c>
      <c r="HB37" s="88" t="s">
        <v>232</v>
      </c>
      <c r="HC37" s="88" t="s">
        <v>230</v>
      </c>
      <c r="HD37" s="88" t="s">
        <v>220</v>
      </c>
      <c r="HE37" s="88" t="s">
        <v>220</v>
      </c>
      <c r="HF37" s="88" t="s">
        <v>232</v>
      </c>
      <c r="HG37" s="88" t="s">
        <v>233</v>
      </c>
      <c r="HH37" s="88" t="s">
        <v>233</v>
      </c>
      <c r="HI37" s="88" t="s">
        <v>232</v>
      </c>
      <c r="HJ37" s="88" t="s">
        <v>230</v>
      </c>
      <c r="HK37" s="88" t="s">
        <v>220</v>
      </c>
      <c r="HL37" s="88" t="s">
        <v>220</v>
      </c>
      <c r="HM37" s="88" t="s">
        <v>232</v>
      </c>
      <c r="HN37" s="88" t="s">
        <v>233</v>
      </c>
      <c r="HO37" s="88" t="s">
        <v>233</v>
      </c>
      <c r="HP37" s="88" t="s">
        <v>232</v>
      </c>
      <c r="HQ37" s="88" t="s">
        <v>230</v>
      </c>
      <c r="HR37" s="88" t="s">
        <v>220</v>
      </c>
      <c r="HS37" s="88" t="s">
        <v>220</v>
      </c>
      <c r="HT37" s="88" t="s">
        <v>232</v>
      </c>
      <c r="HU37" s="88" t="s">
        <v>233</v>
      </c>
      <c r="HV37" s="88" t="s">
        <v>233</v>
      </c>
      <c r="HW37" s="88" t="s">
        <v>232</v>
      </c>
      <c r="HX37" s="88" t="s">
        <v>230</v>
      </c>
      <c r="HY37" s="88" t="s">
        <v>220</v>
      </c>
      <c r="HZ37" s="88" t="s">
        <v>220</v>
      </c>
      <c r="IA37" s="88" t="s">
        <v>232</v>
      </c>
      <c r="IB37" s="88" t="s">
        <v>233</v>
      </c>
      <c r="IC37" s="88" t="s">
        <v>233</v>
      </c>
      <c r="ID37" s="88" t="s">
        <v>232</v>
      </c>
      <c r="IE37" s="88" t="s">
        <v>230</v>
      </c>
      <c r="IF37" s="88" t="s">
        <v>220</v>
      </c>
      <c r="IG37" s="88" t="s">
        <v>220</v>
      </c>
      <c r="IH37" s="88" t="s">
        <v>232</v>
      </c>
      <c r="II37" s="88" t="s">
        <v>233</v>
      </c>
      <c r="IJ37" s="88" t="s">
        <v>233</v>
      </c>
      <c r="IK37" s="88" t="s">
        <v>232</v>
      </c>
      <c r="IL37" s="88" t="s">
        <v>234</v>
      </c>
      <c r="IM37" s="88" t="s">
        <v>234</v>
      </c>
      <c r="IN37" s="88" t="s">
        <v>234</v>
      </c>
      <c r="IO37" s="291" t="s">
        <v>234</v>
      </c>
    </row>
    <row r="38" spans="1:249" ht="17.25" thickBot="1" thickTop="1">
      <c r="A38" s="13"/>
      <c r="B38" s="418"/>
      <c r="C38" s="425"/>
      <c r="D38" s="376" t="s">
        <v>104</v>
      </c>
      <c r="E38" s="368">
        <f>ROUND(SUM(E34:E37),0)</f>
        <v>79550</v>
      </c>
      <c r="G38" s="394" t="s">
        <v>235</v>
      </c>
      <c r="H38" s="440"/>
      <c r="I38" s="503">
        <v>22</v>
      </c>
      <c r="J38" s="203"/>
      <c r="K38" s="270" t="s">
        <v>236</v>
      </c>
      <c r="L38" s="273"/>
      <c r="M38" s="273"/>
      <c r="N38" s="273"/>
      <c r="O38" s="273"/>
      <c r="P38" s="273"/>
      <c r="Q38" s="117"/>
      <c r="R38" s="117"/>
      <c r="S38" s="182"/>
      <c r="T38" s="514"/>
      <c r="U38" s="514"/>
      <c r="V38" s="514"/>
      <c r="W38" s="514" t="s">
        <v>17</v>
      </c>
      <c r="X38" s="514" t="s">
        <v>17</v>
      </c>
      <c r="Y38" s="514"/>
      <c r="Z38" s="514"/>
      <c r="AA38" s="514"/>
      <c r="AB38" s="514" t="s">
        <v>17</v>
      </c>
      <c r="AC38" s="514" t="s">
        <v>17</v>
      </c>
      <c r="AD38" s="514"/>
      <c r="AE38" s="514"/>
      <c r="AF38" s="514"/>
      <c r="AG38" s="514" t="s">
        <v>17</v>
      </c>
      <c r="AH38" s="514" t="s">
        <v>17</v>
      </c>
      <c r="AI38" s="183"/>
      <c r="AJ38" s="183"/>
      <c r="AK38" s="183"/>
      <c r="AL38" s="183" t="s">
        <v>17</v>
      </c>
      <c r="AM38" s="183" t="s">
        <v>17</v>
      </c>
      <c r="AN38" s="183"/>
      <c r="AO38" s="183"/>
      <c r="AP38" s="183"/>
      <c r="AQ38" s="183" t="s">
        <v>17</v>
      </c>
      <c r="AR38" s="183" t="s">
        <v>17</v>
      </c>
      <c r="AS38" s="182"/>
      <c r="AT38" s="183"/>
      <c r="AU38" s="183"/>
      <c r="AV38" s="183"/>
      <c r="AW38" s="183" t="s">
        <v>17</v>
      </c>
      <c r="AX38" s="183" t="s">
        <v>17</v>
      </c>
      <c r="AY38" s="183"/>
      <c r="AZ38" s="183"/>
      <c r="BA38" s="183"/>
      <c r="BB38" s="183" t="s">
        <v>17</v>
      </c>
      <c r="BC38" s="183" t="s">
        <v>17</v>
      </c>
      <c r="BD38" s="183"/>
      <c r="BE38" s="183"/>
      <c r="BF38" s="183"/>
      <c r="BG38" s="183" t="s">
        <v>17</v>
      </c>
      <c r="BH38" s="183" t="s">
        <v>17</v>
      </c>
      <c r="BI38" s="183"/>
      <c r="BJ38" s="183"/>
      <c r="BK38" s="183"/>
      <c r="BL38" s="183" t="s">
        <v>17</v>
      </c>
      <c r="BM38" s="183" t="s">
        <v>17</v>
      </c>
      <c r="BN38" s="183"/>
      <c r="BO38" s="183"/>
      <c r="BP38" s="183"/>
      <c r="BQ38" s="183" t="s">
        <v>17</v>
      </c>
      <c r="BR38" s="183" t="s">
        <v>17</v>
      </c>
      <c r="BS38" s="182"/>
      <c r="BT38" s="183"/>
      <c r="BU38" s="183"/>
      <c r="BV38" s="183"/>
      <c r="BW38" s="183" t="s">
        <v>17</v>
      </c>
      <c r="BX38" s="183" t="s">
        <v>17</v>
      </c>
      <c r="BY38" s="183"/>
      <c r="BZ38" s="183"/>
      <c r="CA38" s="183"/>
      <c r="CB38" s="183" t="s">
        <v>17</v>
      </c>
      <c r="CC38" s="183" t="s">
        <v>17</v>
      </c>
      <c r="CD38" s="183"/>
      <c r="CE38" s="183"/>
      <c r="CF38" s="183"/>
      <c r="CG38" s="183" t="s">
        <v>17</v>
      </c>
      <c r="CH38" s="183" t="s">
        <v>17</v>
      </c>
      <c r="CI38" s="183"/>
      <c r="CJ38" s="183"/>
      <c r="CK38" s="183"/>
      <c r="CL38" s="183" t="s">
        <v>17</v>
      </c>
      <c r="CM38" s="183" t="s">
        <v>17</v>
      </c>
      <c r="CN38" s="183"/>
      <c r="CO38" s="183"/>
      <c r="CP38" s="183"/>
      <c r="CQ38" s="183" t="s">
        <v>17</v>
      </c>
      <c r="CR38" s="183" t="s">
        <v>17</v>
      </c>
      <c r="CS38" s="182"/>
      <c r="CT38" s="183"/>
      <c r="CU38" s="183"/>
      <c r="CV38" s="183"/>
      <c r="CW38" s="183" t="s">
        <v>17</v>
      </c>
      <c r="CX38" s="183" t="s">
        <v>17</v>
      </c>
      <c r="CY38" s="183"/>
      <c r="CZ38" s="183"/>
      <c r="DA38" s="183"/>
      <c r="DB38" s="183" t="s">
        <v>17</v>
      </c>
      <c r="DC38" s="183" t="s">
        <v>17</v>
      </c>
      <c r="DD38" s="183"/>
      <c r="DE38" s="183"/>
      <c r="DF38" s="183"/>
      <c r="DG38" s="183" t="s">
        <v>17</v>
      </c>
      <c r="DH38" s="183" t="s">
        <v>17</v>
      </c>
      <c r="DI38" s="183"/>
      <c r="DJ38" s="183"/>
      <c r="DK38" s="183"/>
      <c r="DL38" s="183" t="s">
        <v>17</v>
      </c>
      <c r="DM38" s="183" t="s">
        <v>17</v>
      </c>
      <c r="DN38" s="186"/>
      <c r="DO38" s="183"/>
      <c r="DP38" s="183"/>
      <c r="DQ38" s="183" t="s">
        <v>17</v>
      </c>
      <c r="DR38" s="186" t="s">
        <v>17</v>
      </c>
      <c r="DT38" s="66" t="s">
        <v>69</v>
      </c>
      <c r="DU38" s="67" t="s">
        <v>34</v>
      </c>
      <c r="DV38" s="67" t="s">
        <v>237</v>
      </c>
      <c r="DW38" s="67" t="s">
        <v>238</v>
      </c>
      <c r="DX38" s="67" t="s">
        <v>238</v>
      </c>
      <c r="DY38" s="63" t="s">
        <v>238</v>
      </c>
      <c r="DZ38" s="63" t="s">
        <v>239</v>
      </c>
      <c r="EA38" s="64" t="s">
        <v>240</v>
      </c>
      <c r="EB38" s="81"/>
      <c r="EC38" s="75"/>
      <c r="ED38" s="81"/>
      <c r="EE38" s="81"/>
      <c r="EF38" s="81"/>
      <c r="EG38" s="81"/>
      <c r="EH38" s="59">
        <v>1</v>
      </c>
      <c r="EI38" s="10">
        <v>0</v>
      </c>
      <c r="EJ38" s="8">
        <v>0</v>
      </c>
      <c r="EK38" s="10">
        <v>0</v>
      </c>
      <c r="EL38" s="10">
        <v>0</v>
      </c>
      <c r="EM38" s="8">
        <v>0</v>
      </c>
      <c r="EN38" s="10">
        <v>0</v>
      </c>
      <c r="EO38" s="10">
        <v>0</v>
      </c>
      <c r="EP38" s="8">
        <v>0</v>
      </c>
      <c r="EQ38" s="10">
        <v>0</v>
      </c>
      <c r="ER38" s="10">
        <v>0</v>
      </c>
      <c r="ES38" s="8">
        <v>0</v>
      </c>
      <c r="ET38" s="10">
        <v>0</v>
      </c>
      <c r="EU38" s="10">
        <v>0</v>
      </c>
      <c r="EV38" s="8">
        <v>0</v>
      </c>
      <c r="EW38" s="10">
        <v>0</v>
      </c>
      <c r="EX38" s="10">
        <v>0</v>
      </c>
      <c r="EY38" s="8">
        <v>0</v>
      </c>
      <c r="EZ38" s="10">
        <v>0</v>
      </c>
      <c r="FA38" s="10">
        <v>0</v>
      </c>
      <c r="FB38" s="8">
        <v>0</v>
      </c>
      <c r="FC38" s="10">
        <v>0</v>
      </c>
      <c r="FD38" s="10">
        <v>0</v>
      </c>
      <c r="FE38" s="8">
        <v>0</v>
      </c>
      <c r="FF38" s="70">
        <v>0</v>
      </c>
      <c r="FH38" s="59">
        <v>1</v>
      </c>
      <c r="FI38" s="299">
        <f>$I$7</f>
        <v>1200</v>
      </c>
      <c r="FJ38" s="10">
        <f>SLN($D$18,IF($H$117="yes",0,$I$18*$I$19),3)</f>
        <v>486.6666666666667</v>
      </c>
      <c r="FK38" s="10">
        <f>SYD($D$18,IF($H$117="yes",0,$I$18*$I$19),3,1)</f>
        <v>730</v>
      </c>
      <c r="FL38" s="10">
        <f>IF($H$120="yes",FJ38*FI38,0)</f>
        <v>0</v>
      </c>
      <c r="FM38" s="10">
        <f>IF($H$120="no",FK38*FI38,0)</f>
        <v>876000</v>
      </c>
      <c r="FN38" s="10">
        <f>IF($H$120="yes",ROUND($I$17*$FI$38,0)*($FJ$39+$FJ$40),ROUND($I$17*$FI$38,0)*($FK$39+$FK$40))</f>
        <v>289080</v>
      </c>
      <c r="FO38" s="10">
        <f>IF($H$120="yes",ROUND($I$20*$FI$38,0)*($FJ$39+$FJ$40),ROUND($I$20*$FI$38,0)*($FK$39+$FK$40))</f>
        <v>8760</v>
      </c>
      <c r="FP38" s="10">
        <f aca="true" t="shared" si="32" ref="FP38:FP47">IF($H$117="no",ROUND($I$20*FI38,0)*($I$18*$I$19),0)</f>
        <v>6480</v>
      </c>
      <c r="FQ38" s="10">
        <f aca="true" t="shared" si="33" ref="FQ38:FQ47">IF($H$117="yes",ROUND(FI38*$I$17,0)*$I$18*$I$19,0)</f>
        <v>0</v>
      </c>
      <c r="FR38" s="10">
        <f>SLN($I$36,IF($H$117="yes",0,$I$18*$I$19),3)</f>
        <v>486.6666666666667</v>
      </c>
      <c r="FS38" s="10">
        <f>SYD($I$36,IF($H$117="yes",0,$I$18*$I$19),3,1)</f>
        <v>730</v>
      </c>
      <c r="FT38" s="299">
        <v>0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0</v>
      </c>
      <c r="GA38" s="299">
        <v>0</v>
      </c>
      <c r="GB38" s="10">
        <v>0</v>
      </c>
      <c r="GC38" s="10">
        <v>0</v>
      </c>
      <c r="GD38" s="10">
        <v>0</v>
      </c>
      <c r="GE38" s="10">
        <v>0</v>
      </c>
      <c r="GF38" s="10">
        <v>0</v>
      </c>
      <c r="GG38" s="10">
        <v>0</v>
      </c>
      <c r="GH38" s="299">
        <v>0</v>
      </c>
      <c r="GI38" s="10">
        <v>0</v>
      </c>
      <c r="GJ38" s="10">
        <v>0</v>
      </c>
      <c r="GK38" s="10">
        <v>0</v>
      </c>
      <c r="GL38" s="10">
        <v>0</v>
      </c>
      <c r="GM38" s="10">
        <v>0</v>
      </c>
      <c r="GN38" s="10">
        <v>0</v>
      </c>
      <c r="GO38" s="299">
        <v>0</v>
      </c>
      <c r="GP38" s="10">
        <v>0</v>
      </c>
      <c r="GQ38" s="10">
        <v>0</v>
      </c>
      <c r="GR38" s="10">
        <v>0</v>
      </c>
      <c r="GS38" s="10">
        <v>0</v>
      </c>
      <c r="GT38" s="10">
        <v>0</v>
      </c>
      <c r="GU38" s="10">
        <v>0</v>
      </c>
      <c r="GV38" s="299">
        <v>0</v>
      </c>
      <c r="GW38" s="10">
        <v>0</v>
      </c>
      <c r="GX38" s="10">
        <v>0</v>
      </c>
      <c r="GY38" s="10">
        <v>0</v>
      </c>
      <c r="GZ38" s="10">
        <v>0</v>
      </c>
      <c r="HA38" s="10">
        <v>0</v>
      </c>
      <c r="HB38" s="10">
        <v>0</v>
      </c>
      <c r="HC38" s="299">
        <v>0</v>
      </c>
      <c r="HD38" s="10">
        <v>0</v>
      </c>
      <c r="HE38" s="10">
        <v>0</v>
      </c>
      <c r="HF38" s="10">
        <v>0</v>
      </c>
      <c r="HG38" s="10">
        <v>0</v>
      </c>
      <c r="HH38" s="10">
        <v>0</v>
      </c>
      <c r="HI38" s="10">
        <v>0</v>
      </c>
      <c r="HJ38" s="299">
        <v>0</v>
      </c>
      <c r="HK38" s="10">
        <v>0</v>
      </c>
      <c r="HL38" s="10">
        <v>0</v>
      </c>
      <c r="HM38" s="10">
        <v>0</v>
      </c>
      <c r="HN38" s="10">
        <v>0</v>
      </c>
      <c r="HO38" s="10">
        <v>0</v>
      </c>
      <c r="HP38" s="10">
        <v>0</v>
      </c>
      <c r="HQ38" s="299">
        <v>0</v>
      </c>
      <c r="HR38" s="10">
        <v>0</v>
      </c>
      <c r="HS38" s="10">
        <v>0</v>
      </c>
      <c r="HT38" s="10">
        <v>0</v>
      </c>
      <c r="HU38" s="10">
        <v>0</v>
      </c>
      <c r="HV38" s="10">
        <v>0</v>
      </c>
      <c r="HW38" s="10">
        <v>0</v>
      </c>
      <c r="HX38" s="299">
        <v>0</v>
      </c>
      <c r="HY38" s="10">
        <v>0</v>
      </c>
      <c r="HZ38" s="10">
        <v>0</v>
      </c>
      <c r="IA38" s="10">
        <v>0</v>
      </c>
      <c r="IB38" s="10">
        <v>0</v>
      </c>
      <c r="IC38" s="10">
        <v>0</v>
      </c>
      <c r="ID38" s="10">
        <v>0</v>
      </c>
      <c r="IE38" s="299">
        <v>0</v>
      </c>
      <c r="IF38" s="10">
        <v>0</v>
      </c>
      <c r="IG38" s="10">
        <v>0</v>
      </c>
      <c r="IH38" s="10">
        <v>0</v>
      </c>
      <c r="II38" s="10">
        <v>0</v>
      </c>
      <c r="IJ38" s="10">
        <v>0</v>
      </c>
      <c r="IK38" s="10">
        <v>0</v>
      </c>
      <c r="IL38" s="10">
        <f aca="true" t="shared" si="34" ref="IL38:IL57">FL38+FM38+FU38+FV38+GB38+GC38+GI38+GJ38+GP38+GQ38+GW38+GX38+HD38+HE38+HK38+HL38+HR38+HS38+HY38+HZ38+IF38+IG38</f>
        <v>876000</v>
      </c>
      <c r="IM38" s="10">
        <f aca="true" t="shared" si="35" ref="IM38:IM57">FN38+FO38+FW38+FX38+GD38+GE38+GK38+GL38+GR38+GS38+GY38+GZ38+HF38+HG38+HM38+HN38+HT38+HU38+IA38+IB38+IH38+II38</f>
        <v>297840</v>
      </c>
      <c r="IN38" s="10">
        <f aca="true" t="shared" si="36" ref="IN38:IO57">FP38+FY38+GF38+GM38+GT38+HA38+HH38+HO38+HV38+IC38+IJ38</f>
        <v>6480</v>
      </c>
      <c r="IO38" s="381">
        <f t="shared" si="36"/>
        <v>0</v>
      </c>
    </row>
    <row r="39" spans="1:249" ht="17.25" thickBot="1" thickTop="1">
      <c r="A39" s="1" t="s">
        <v>241</v>
      </c>
      <c r="B39" s="418"/>
      <c r="C39" s="425"/>
      <c r="D39" s="365"/>
      <c r="E39" s="364"/>
      <c r="G39" s="394" t="s">
        <v>242</v>
      </c>
      <c r="H39" s="440"/>
      <c r="I39" s="503">
        <v>45</v>
      </c>
      <c r="J39" s="203"/>
      <c r="K39" s="266" t="s">
        <v>243</v>
      </c>
      <c r="L39" s="273"/>
      <c r="M39" s="273"/>
      <c r="N39" s="273"/>
      <c r="O39" s="273"/>
      <c r="P39" s="273"/>
      <c r="Q39" s="117"/>
      <c r="R39" s="117"/>
      <c r="S39" s="36" t="s">
        <v>31</v>
      </c>
      <c r="T39" s="515">
        <v>1</v>
      </c>
      <c r="U39" s="515" t="s">
        <v>32</v>
      </c>
      <c r="V39" s="515" t="s">
        <v>33</v>
      </c>
      <c r="W39" s="515" t="s">
        <v>34</v>
      </c>
      <c r="X39" s="515" t="s">
        <v>35</v>
      </c>
      <c r="Y39" s="515">
        <v>2</v>
      </c>
      <c r="Z39" s="515" t="s">
        <v>32</v>
      </c>
      <c r="AA39" s="515" t="s">
        <v>33</v>
      </c>
      <c r="AB39" s="515" t="s">
        <v>34</v>
      </c>
      <c r="AC39" s="515" t="s">
        <v>35</v>
      </c>
      <c r="AD39" s="515">
        <v>3</v>
      </c>
      <c r="AE39" s="515" t="s">
        <v>32</v>
      </c>
      <c r="AF39" s="515" t="s">
        <v>33</v>
      </c>
      <c r="AG39" s="515" t="s">
        <v>34</v>
      </c>
      <c r="AH39" s="515" t="s">
        <v>35</v>
      </c>
      <c r="AI39" s="185">
        <v>4</v>
      </c>
      <c r="AJ39" s="185" t="s">
        <v>32</v>
      </c>
      <c r="AK39" s="185" t="s">
        <v>33</v>
      </c>
      <c r="AL39" s="185" t="s">
        <v>34</v>
      </c>
      <c r="AM39" s="185" t="s">
        <v>35</v>
      </c>
      <c r="AN39" s="185">
        <v>5</v>
      </c>
      <c r="AO39" s="185" t="s">
        <v>32</v>
      </c>
      <c r="AP39" s="185" t="s">
        <v>33</v>
      </c>
      <c r="AQ39" s="185" t="s">
        <v>34</v>
      </c>
      <c r="AR39" s="185" t="s">
        <v>35</v>
      </c>
      <c r="AS39" s="36" t="s">
        <v>31</v>
      </c>
      <c r="AT39" s="185">
        <v>6</v>
      </c>
      <c r="AU39" s="185" t="s">
        <v>32</v>
      </c>
      <c r="AV39" s="185" t="s">
        <v>33</v>
      </c>
      <c r="AW39" s="185" t="s">
        <v>34</v>
      </c>
      <c r="AX39" s="185" t="s">
        <v>35</v>
      </c>
      <c r="AY39" s="185">
        <v>7</v>
      </c>
      <c r="AZ39" s="185" t="s">
        <v>32</v>
      </c>
      <c r="BA39" s="185" t="s">
        <v>33</v>
      </c>
      <c r="BB39" s="185" t="s">
        <v>34</v>
      </c>
      <c r="BC39" s="185" t="s">
        <v>35</v>
      </c>
      <c r="BD39" s="185">
        <v>8</v>
      </c>
      <c r="BE39" s="185" t="s">
        <v>32</v>
      </c>
      <c r="BF39" s="185" t="s">
        <v>33</v>
      </c>
      <c r="BG39" s="185" t="s">
        <v>34</v>
      </c>
      <c r="BH39" s="185" t="s">
        <v>35</v>
      </c>
      <c r="BI39" s="185">
        <v>9</v>
      </c>
      <c r="BJ39" s="185" t="s">
        <v>32</v>
      </c>
      <c r="BK39" s="185" t="s">
        <v>33</v>
      </c>
      <c r="BL39" s="185" t="s">
        <v>34</v>
      </c>
      <c r="BM39" s="185" t="s">
        <v>35</v>
      </c>
      <c r="BN39" s="185">
        <v>10</v>
      </c>
      <c r="BO39" s="185" t="s">
        <v>32</v>
      </c>
      <c r="BP39" s="185" t="s">
        <v>33</v>
      </c>
      <c r="BQ39" s="185" t="s">
        <v>34</v>
      </c>
      <c r="BR39" s="185" t="s">
        <v>35</v>
      </c>
      <c r="BS39" s="36" t="s">
        <v>31</v>
      </c>
      <c r="BT39" s="185">
        <v>11</v>
      </c>
      <c r="BU39" s="185" t="s">
        <v>32</v>
      </c>
      <c r="BV39" s="185" t="s">
        <v>33</v>
      </c>
      <c r="BW39" s="185" t="s">
        <v>34</v>
      </c>
      <c r="BX39" s="185" t="s">
        <v>35</v>
      </c>
      <c r="BY39" s="185">
        <v>12</v>
      </c>
      <c r="BZ39" s="185" t="s">
        <v>32</v>
      </c>
      <c r="CA39" s="185" t="s">
        <v>33</v>
      </c>
      <c r="CB39" s="185" t="s">
        <v>34</v>
      </c>
      <c r="CC39" s="185" t="s">
        <v>35</v>
      </c>
      <c r="CD39" s="185">
        <v>13</v>
      </c>
      <c r="CE39" s="185" t="s">
        <v>32</v>
      </c>
      <c r="CF39" s="185" t="s">
        <v>33</v>
      </c>
      <c r="CG39" s="185" t="s">
        <v>34</v>
      </c>
      <c r="CH39" s="185" t="s">
        <v>35</v>
      </c>
      <c r="CI39" s="185">
        <v>14</v>
      </c>
      <c r="CJ39" s="185" t="s">
        <v>32</v>
      </c>
      <c r="CK39" s="185" t="s">
        <v>33</v>
      </c>
      <c r="CL39" s="185" t="s">
        <v>34</v>
      </c>
      <c r="CM39" s="185" t="s">
        <v>35</v>
      </c>
      <c r="CN39" s="185">
        <v>15</v>
      </c>
      <c r="CO39" s="185" t="s">
        <v>32</v>
      </c>
      <c r="CP39" s="185" t="s">
        <v>33</v>
      </c>
      <c r="CQ39" s="185" t="s">
        <v>34</v>
      </c>
      <c r="CR39" s="185" t="s">
        <v>35</v>
      </c>
      <c r="CS39" s="36" t="s">
        <v>31</v>
      </c>
      <c r="CT39" s="185">
        <v>16</v>
      </c>
      <c r="CU39" s="185" t="s">
        <v>32</v>
      </c>
      <c r="CV39" s="185" t="s">
        <v>33</v>
      </c>
      <c r="CW39" s="185" t="s">
        <v>34</v>
      </c>
      <c r="CX39" s="185" t="s">
        <v>35</v>
      </c>
      <c r="CY39" s="185">
        <v>17</v>
      </c>
      <c r="CZ39" s="185" t="s">
        <v>32</v>
      </c>
      <c r="DA39" s="185" t="s">
        <v>33</v>
      </c>
      <c r="DB39" s="185" t="s">
        <v>34</v>
      </c>
      <c r="DC39" s="185" t="s">
        <v>35</v>
      </c>
      <c r="DD39" s="185">
        <v>18</v>
      </c>
      <c r="DE39" s="185" t="s">
        <v>32</v>
      </c>
      <c r="DF39" s="185" t="s">
        <v>33</v>
      </c>
      <c r="DG39" s="185" t="s">
        <v>34</v>
      </c>
      <c r="DH39" s="185" t="s">
        <v>35</v>
      </c>
      <c r="DI39" s="185">
        <v>19</v>
      </c>
      <c r="DJ39" s="185" t="s">
        <v>32</v>
      </c>
      <c r="DK39" s="185" t="s">
        <v>33</v>
      </c>
      <c r="DL39" s="185" t="s">
        <v>34</v>
      </c>
      <c r="DM39" s="185" t="s">
        <v>35</v>
      </c>
      <c r="DN39" s="187">
        <v>20</v>
      </c>
      <c r="DO39" s="185" t="s">
        <v>32</v>
      </c>
      <c r="DP39" s="185" t="s">
        <v>33</v>
      </c>
      <c r="DQ39" s="185" t="s">
        <v>34</v>
      </c>
      <c r="DR39" s="187" t="s">
        <v>35</v>
      </c>
      <c r="DT39" s="59">
        <v>1</v>
      </c>
      <c r="DU39" s="8">
        <f aca="true" t="shared" si="37" ref="DU39:DU58">DU67/((1+$I$128)^$DT39)</f>
        <v>2365941.055045871</v>
      </c>
      <c r="DV39" s="8">
        <f aca="true" t="shared" si="38" ref="DV39:DZ48">(DV67/((1+$I$128)^$DT39))</f>
        <v>2106411.8284403663</v>
      </c>
      <c r="DW39" s="8">
        <f t="shared" si="38"/>
        <v>17089.761467889904</v>
      </c>
      <c r="DX39" s="8">
        <f t="shared" si="38"/>
        <v>17874.495412844033</v>
      </c>
      <c r="DY39" s="8">
        <f t="shared" si="38"/>
        <v>9591.192660550458</v>
      </c>
      <c r="DZ39" s="8">
        <f t="shared" si="38"/>
        <v>519865.189324437</v>
      </c>
      <c r="EA39" s="69">
        <f aca="true" t="shared" si="39" ref="EA39:EA58">DU39+DZ39-DV39-DW39-DX39-DY39</f>
        <v>734838.9663886576</v>
      </c>
      <c r="EB39" s="81"/>
      <c r="EC39" s="75"/>
      <c r="ED39" s="81"/>
      <c r="EE39" s="81"/>
      <c r="EF39" s="81"/>
      <c r="EG39" s="81"/>
      <c r="EH39" s="62">
        <v>2</v>
      </c>
      <c r="EI39" s="107">
        <v>0</v>
      </c>
      <c r="EJ39" s="107">
        <v>0</v>
      </c>
      <c r="EK39" s="107">
        <v>0</v>
      </c>
      <c r="EL39" s="107">
        <v>0</v>
      </c>
      <c r="EM39" s="107">
        <v>0</v>
      </c>
      <c r="EN39" s="107">
        <v>0</v>
      </c>
      <c r="EO39" s="107">
        <v>0</v>
      </c>
      <c r="EP39" s="107">
        <v>0</v>
      </c>
      <c r="EQ39" s="107">
        <v>0</v>
      </c>
      <c r="ER39" s="107">
        <v>0</v>
      </c>
      <c r="ES39" s="107">
        <v>0</v>
      </c>
      <c r="ET39" s="107">
        <v>0</v>
      </c>
      <c r="EU39" s="107">
        <v>0</v>
      </c>
      <c r="EV39" s="107">
        <v>0</v>
      </c>
      <c r="EW39" s="107">
        <v>0</v>
      </c>
      <c r="EX39" s="107">
        <v>0</v>
      </c>
      <c r="EY39" s="107">
        <v>0</v>
      </c>
      <c r="EZ39" s="107">
        <v>0</v>
      </c>
      <c r="FA39" s="107">
        <v>0</v>
      </c>
      <c r="FB39" s="107">
        <v>0</v>
      </c>
      <c r="FC39" s="107">
        <v>0</v>
      </c>
      <c r="FD39" s="107">
        <v>0</v>
      </c>
      <c r="FE39" s="107">
        <v>0</v>
      </c>
      <c r="FF39" s="79">
        <v>0</v>
      </c>
      <c r="FH39" s="62">
        <v>2</v>
      </c>
      <c r="FI39" s="107">
        <f aca="true" t="shared" si="40" ref="FI39:FI47">ROUND(FI38-($I$17+$I$20)*FI38,0)</f>
        <v>792</v>
      </c>
      <c r="FJ39" s="107">
        <f>SLN($D$18,IF($H$117="yes",0,$I$18*$I$19),3)</f>
        <v>486.6666666666667</v>
      </c>
      <c r="FK39" s="107">
        <f>SYD($D$18,IF($H$117="yes",0,$I$18*$I$19),3,2)</f>
        <v>486.6666666666667</v>
      </c>
      <c r="FL39" s="107">
        <f>IF($H$120="yes",FJ39*FI39,0)</f>
        <v>0</v>
      </c>
      <c r="FM39" s="107">
        <f>IF($H$120="no",FK39*FI39,0)</f>
        <v>385440</v>
      </c>
      <c r="FN39" s="107">
        <f>IF($H$120="yes",ROUND($I$17*$FI$39,0)*($FJ$40),ROUND($I$17*$FI$39,0)*($FK$40))</f>
        <v>63510</v>
      </c>
      <c r="FO39" s="107">
        <f>IF($H$120="yes",ROUND($I$20*$FI$39,0)*($FJ$40),ROUND($I$20*$FI$39,0)*($FK$40))</f>
        <v>1946.6666666666667</v>
      </c>
      <c r="FP39" s="107">
        <f t="shared" si="32"/>
        <v>4320</v>
      </c>
      <c r="FQ39" s="107">
        <f t="shared" si="33"/>
        <v>0</v>
      </c>
      <c r="FR39" s="107">
        <f>SLN($I$36,IF($H$117="yes",0,$I$18*$I$19),3)</f>
        <v>486.6666666666667</v>
      </c>
      <c r="FS39" s="107">
        <f>SYD($I$36,IF($H$117="yes",0,$I$18*$I$19),3,2)</f>
        <v>486.6666666666667</v>
      </c>
      <c r="FT39" s="107">
        <f>ROUND($I$7*($I$17+$I$20),0)</f>
        <v>408</v>
      </c>
      <c r="FU39" s="107">
        <f>IF($H$120="yes",FT39*$FR$38,0)</f>
        <v>0</v>
      </c>
      <c r="FV39" s="107">
        <f>IF($H$120="no",FT39*$FS$38,0)</f>
        <v>297840</v>
      </c>
      <c r="FW39" s="107">
        <f>IF($H$120="yes",ROUND($I$17*FT39,0)*($FR$39+$FR$40),ROUND($I$17*FT39,0)*($FS$39+$FS$40))</f>
        <v>98550</v>
      </c>
      <c r="FX39" s="107">
        <f>IF($H$120="yes",ROUND($I$20*FT39,0)*($FR$39+$FR$40),ROUND($I$20*FT39,0)*($FS$39+$FS$40))</f>
        <v>2920</v>
      </c>
      <c r="FY39" s="107">
        <f aca="true" t="shared" si="41" ref="FY39:FY48">IF($H$117="no",ROUND($I$20*FT39,0)*($I$18*$I$19),0)</f>
        <v>2160</v>
      </c>
      <c r="FZ39" s="107">
        <f aca="true" t="shared" si="42" ref="FZ39:FZ48">IF($H$117="yes",ROUND(FT39*$I$17,0)*$I$18*$I$19,0)</f>
        <v>0</v>
      </c>
      <c r="GA39" s="107">
        <v>0</v>
      </c>
      <c r="GB39" s="107">
        <v>0</v>
      </c>
      <c r="GC39" s="107">
        <v>0</v>
      </c>
      <c r="GD39" s="107">
        <v>0</v>
      </c>
      <c r="GE39" s="107">
        <v>0</v>
      </c>
      <c r="GF39" s="107">
        <v>0</v>
      </c>
      <c r="GG39" s="107">
        <v>0</v>
      </c>
      <c r="GH39" s="107">
        <v>0</v>
      </c>
      <c r="GI39" s="107">
        <v>0</v>
      </c>
      <c r="GJ39" s="107">
        <v>0</v>
      </c>
      <c r="GK39" s="107">
        <v>0</v>
      </c>
      <c r="GL39" s="107">
        <v>0</v>
      </c>
      <c r="GM39" s="107">
        <v>0</v>
      </c>
      <c r="GN39" s="107">
        <v>0</v>
      </c>
      <c r="GO39" s="107">
        <v>0</v>
      </c>
      <c r="GP39" s="107">
        <v>0</v>
      </c>
      <c r="GQ39" s="107">
        <v>0</v>
      </c>
      <c r="GR39" s="107">
        <v>0</v>
      </c>
      <c r="GS39" s="107">
        <v>0</v>
      </c>
      <c r="GT39" s="107">
        <v>0</v>
      </c>
      <c r="GU39" s="107">
        <v>0</v>
      </c>
      <c r="GV39" s="107">
        <v>0</v>
      </c>
      <c r="GW39" s="107">
        <v>0</v>
      </c>
      <c r="GX39" s="107">
        <v>0</v>
      </c>
      <c r="GY39" s="107">
        <v>0</v>
      </c>
      <c r="GZ39" s="107">
        <v>0</v>
      </c>
      <c r="HA39" s="107">
        <v>0</v>
      </c>
      <c r="HB39" s="107">
        <v>0</v>
      </c>
      <c r="HC39" s="107">
        <v>0</v>
      </c>
      <c r="HD39" s="107">
        <v>0</v>
      </c>
      <c r="HE39" s="107">
        <v>0</v>
      </c>
      <c r="HF39" s="107">
        <v>0</v>
      </c>
      <c r="HG39" s="107">
        <v>0</v>
      </c>
      <c r="HH39" s="107">
        <v>0</v>
      </c>
      <c r="HI39" s="107">
        <v>0</v>
      </c>
      <c r="HJ39" s="107">
        <v>0</v>
      </c>
      <c r="HK39" s="107">
        <v>0</v>
      </c>
      <c r="HL39" s="107">
        <v>0</v>
      </c>
      <c r="HM39" s="107">
        <v>0</v>
      </c>
      <c r="HN39" s="107">
        <v>0</v>
      </c>
      <c r="HO39" s="107">
        <v>0</v>
      </c>
      <c r="HP39" s="107">
        <v>0</v>
      </c>
      <c r="HQ39" s="107">
        <v>0</v>
      </c>
      <c r="HR39" s="107">
        <v>0</v>
      </c>
      <c r="HS39" s="107">
        <v>0</v>
      </c>
      <c r="HT39" s="107">
        <v>0</v>
      </c>
      <c r="HU39" s="107">
        <v>0</v>
      </c>
      <c r="HV39" s="107">
        <v>0</v>
      </c>
      <c r="HW39" s="107">
        <v>0</v>
      </c>
      <c r="HX39" s="107">
        <v>0</v>
      </c>
      <c r="HY39" s="107">
        <v>0</v>
      </c>
      <c r="HZ39" s="107">
        <v>0</v>
      </c>
      <c r="IA39" s="107">
        <v>0</v>
      </c>
      <c r="IB39" s="107">
        <v>0</v>
      </c>
      <c r="IC39" s="107">
        <v>0</v>
      </c>
      <c r="ID39" s="107">
        <v>0</v>
      </c>
      <c r="IE39" s="107">
        <v>0</v>
      </c>
      <c r="IF39" s="107">
        <v>0</v>
      </c>
      <c r="IG39" s="107">
        <v>0</v>
      </c>
      <c r="IH39" s="107">
        <v>0</v>
      </c>
      <c r="II39" s="107">
        <v>0</v>
      </c>
      <c r="IJ39" s="107">
        <v>0</v>
      </c>
      <c r="IK39" s="107">
        <v>0</v>
      </c>
      <c r="IL39" s="107">
        <f t="shared" si="34"/>
        <v>683280</v>
      </c>
      <c r="IM39" s="107">
        <f t="shared" si="35"/>
        <v>166926.66666666666</v>
      </c>
      <c r="IN39" s="107">
        <f t="shared" si="36"/>
        <v>6480</v>
      </c>
      <c r="IO39" s="27">
        <f t="shared" si="36"/>
        <v>0</v>
      </c>
    </row>
    <row r="40" spans="1:249" ht="16.5" thickTop="1">
      <c r="A40" s="6"/>
      <c r="B40" s="419"/>
      <c r="C40" s="423"/>
      <c r="D40" s="373"/>
      <c r="E40" s="366" t="s">
        <v>19</v>
      </c>
      <c r="G40" s="394" t="s">
        <v>244</v>
      </c>
      <c r="H40" s="440"/>
      <c r="I40" s="500">
        <v>10.3</v>
      </c>
      <c r="J40" s="203"/>
      <c r="K40" s="266" t="s">
        <v>245</v>
      </c>
      <c r="L40" s="273"/>
      <c r="M40" s="273"/>
      <c r="N40" s="273"/>
      <c r="O40" s="273"/>
      <c r="P40" s="273"/>
      <c r="Q40" s="81"/>
      <c r="R40" s="81"/>
      <c r="S40" s="42" t="s">
        <v>246</v>
      </c>
      <c r="T40" s="41"/>
      <c r="U40" s="34"/>
      <c r="V40" s="34"/>
      <c r="W40" s="34"/>
      <c r="X40" s="34"/>
      <c r="Y40" s="34"/>
      <c r="Z40" s="34"/>
      <c r="AA40" s="34"/>
      <c r="AB40" s="34"/>
      <c r="AC40" s="34"/>
      <c r="AD40" s="40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42" t="s">
        <v>246</v>
      </c>
      <c r="AT40" s="47"/>
      <c r="AU40" s="34"/>
      <c r="AV40" s="34"/>
      <c r="AW40" s="34"/>
      <c r="AX40" s="34"/>
      <c r="AY40" s="47"/>
      <c r="AZ40" s="34"/>
      <c r="BA40" s="34"/>
      <c r="BB40" s="34"/>
      <c r="BC40" s="34"/>
      <c r="BD40" s="47"/>
      <c r="BE40" s="34"/>
      <c r="BF40" s="34"/>
      <c r="BG40" s="34"/>
      <c r="BH40" s="34"/>
      <c r="BI40" s="47"/>
      <c r="BJ40" s="34"/>
      <c r="BK40" s="34"/>
      <c r="BL40" s="34"/>
      <c r="BM40" s="34"/>
      <c r="BN40" s="47"/>
      <c r="BO40" s="34"/>
      <c r="BP40" s="34"/>
      <c r="BQ40" s="34"/>
      <c r="BR40" s="34"/>
      <c r="BS40" s="42" t="s">
        <v>246</v>
      </c>
      <c r="BT40" s="47"/>
      <c r="BU40" s="34"/>
      <c r="BV40" s="34"/>
      <c r="BW40" s="34"/>
      <c r="BX40" s="34"/>
      <c r="BY40" s="47"/>
      <c r="BZ40" s="34"/>
      <c r="CA40" s="34"/>
      <c r="CB40" s="34"/>
      <c r="CC40" s="34"/>
      <c r="CD40" s="47"/>
      <c r="CE40" s="34"/>
      <c r="CF40" s="34"/>
      <c r="CG40" s="34"/>
      <c r="CH40" s="34"/>
      <c r="CI40" s="47"/>
      <c r="CJ40" s="34"/>
      <c r="CK40" s="34"/>
      <c r="CL40" s="34"/>
      <c r="CM40" s="34"/>
      <c r="CN40" s="47"/>
      <c r="CO40" s="34"/>
      <c r="CP40" s="34"/>
      <c r="CQ40" s="34"/>
      <c r="CR40" s="34"/>
      <c r="CS40" s="42" t="s">
        <v>246</v>
      </c>
      <c r="CT40" s="47"/>
      <c r="CU40" s="34"/>
      <c r="CV40" s="34"/>
      <c r="CW40" s="34"/>
      <c r="CX40" s="34"/>
      <c r="CY40" s="47"/>
      <c r="CZ40" s="34"/>
      <c r="DA40" s="34"/>
      <c r="DB40" s="34"/>
      <c r="DC40" s="34"/>
      <c r="DD40" s="47"/>
      <c r="DE40" s="34"/>
      <c r="DF40" s="34"/>
      <c r="DG40" s="34"/>
      <c r="DH40" s="34"/>
      <c r="DI40" s="47"/>
      <c r="DJ40" s="34"/>
      <c r="DK40" s="34"/>
      <c r="DL40" s="34"/>
      <c r="DM40" s="34"/>
      <c r="DN40" s="50"/>
      <c r="DO40" s="34"/>
      <c r="DP40" s="34"/>
      <c r="DQ40" s="34"/>
      <c r="DR40" s="78"/>
      <c r="DT40" s="62">
        <v>2</v>
      </c>
      <c r="DU40" s="107">
        <f t="shared" si="37"/>
        <v>2190658.434475212</v>
      </c>
      <c r="DV40" s="107">
        <f t="shared" si="38"/>
        <v>1937516.1218610748</v>
      </c>
      <c r="DW40" s="107">
        <f t="shared" si="38"/>
        <v>15678.680245770553</v>
      </c>
      <c r="DX40" s="107">
        <f t="shared" si="38"/>
        <v>16398.61964481104</v>
      </c>
      <c r="DY40" s="107">
        <f t="shared" si="38"/>
        <v>8799.259321605923</v>
      </c>
      <c r="DZ40" s="10">
        <f t="shared" si="38"/>
        <v>359994.9931772909</v>
      </c>
      <c r="EA40" s="79">
        <f t="shared" si="39"/>
        <v>572260.7465792405</v>
      </c>
      <c r="EB40" s="81"/>
      <c r="EC40" s="75"/>
      <c r="ED40" s="81"/>
      <c r="EE40" s="81"/>
      <c r="EF40" s="81"/>
      <c r="EG40" s="81"/>
      <c r="EH40" s="62">
        <v>3</v>
      </c>
      <c r="EI40" s="107">
        <v>0</v>
      </c>
      <c r="EJ40" s="107">
        <v>0</v>
      </c>
      <c r="EK40" s="107">
        <v>0</v>
      </c>
      <c r="EL40" s="107">
        <v>0</v>
      </c>
      <c r="EM40" s="107">
        <v>0</v>
      </c>
      <c r="EN40" s="107">
        <v>0</v>
      </c>
      <c r="EO40" s="107">
        <v>0</v>
      </c>
      <c r="EP40" s="107">
        <v>0</v>
      </c>
      <c r="EQ40" s="107">
        <v>0</v>
      </c>
      <c r="ER40" s="107">
        <v>0</v>
      </c>
      <c r="ES40" s="107">
        <v>0</v>
      </c>
      <c r="ET40" s="107">
        <v>0</v>
      </c>
      <c r="EU40" s="107">
        <v>0</v>
      </c>
      <c r="EV40" s="107">
        <v>0</v>
      </c>
      <c r="EW40" s="107">
        <v>0</v>
      </c>
      <c r="EX40" s="107">
        <v>0</v>
      </c>
      <c r="EY40" s="107">
        <v>0</v>
      </c>
      <c r="EZ40" s="107">
        <v>0</v>
      </c>
      <c r="FA40" s="107">
        <v>0</v>
      </c>
      <c r="FB40" s="107">
        <v>0</v>
      </c>
      <c r="FC40" s="107">
        <v>0</v>
      </c>
      <c r="FD40" s="107">
        <v>0</v>
      </c>
      <c r="FE40" s="107">
        <v>0</v>
      </c>
      <c r="FF40" s="79">
        <v>0</v>
      </c>
      <c r="FH40" s="62">
        <v>3</v>
      </c>
      <c r="FI40" s="107">
        <f t="shared" si="40"/>
        <v>523</v>
      </c>
      <c r="FJ40" s="107">
        <f>SLN($D$18,IF($H$117="yes",0,$I$18*$I$19),3)</f>
        <v>486.6666666666667</v>
      </c>
      <c r="FK40" s="107">
        <f>SYD($D$18,IF($H$117="yes",0,$I$18*$I$19),3,3)</f>
        <v>243.33333333333334</v>
      </c>
      <c r="FL40" s="107">
        <f>IF($H$120="yes",FJ40*FI40,0)</f>
        <v>0</v>
      </c>
      <c r="FM40" s="107">
        <f>IF($H$120="no",FK40*FI40,0)</f>
        <v>127263.33333333334</v>
      </c>
      <c r="FN40" s="107">
        <v>0</v>
      </c>
      <c r="FO40" s="107">
        <v>0</v>
      </c>
      <c r="FP40" s="107">
        <f t="shared" si="32"/>
        <v>2700</v>
      </c>
      <c r="FQ40" s="107">
        <f t="shared" si="33"/>
        <v>0</v>
      </c>
      <c r="FR40" s="107">
        <f>SLN($I$36,IF($H$117="yes",0,$I$18*$I$19),3)</f>
        <v>486.6666666666667</v>
      </c>
      <c r="FS40" s="107">
        <f>SYD($I$36,IF($H$117="yes",0,$I$18*$I$19),3,3)</f>
        <v>243.33333333333334</v>
      </c>
      <c r="FT40" s="107">
        <f aca="true" t="shared" si="43" ref="FT40:FT48">ROUND(FT39-($I$17+$I$20)*FT39,0)</f>
        <v>269</v>
      </c>
      <c r="FU40" s="107">
        <f>IF($H$120="yes",FT40*$FR$39,0)</f>
        <v>0</v>
      </c>
      <c r="FV40" s="107">
        <f>IF($H$120="no",FT40*$FS$39,0)</f>
        <v>130913.33333333334</v>
      </c>
      <c r="FW40" s="107">
        <f>IF($H$120="yes",ROUND($I$17*FT40,0)*($FR$40),ROUND($I$17*FT40,0)*($FS$40))</f>
        <v>21656.666666666668</v>
      </c>
      <c r="FX40" s="107">
        <f>IF($H$120="yes",ROUND($I$20*FT40,0)*($FR$40),ROUND($I$20*FT40,0)*($FS$40))</f>
        <v>730</v>
      </c>
      <c r="FY40" s="107">
        <f t="shared" si="41"/>
        <v>1620</v>
      </c>
      <c r="FZ40" s="107">
        <f t="shared" si="42"/>
        <v>0</v>
      </c>
      <c r="GA40" s="107">
        <f>ROUND($I$7*($I$17+$I$20),0)</f>
        <v>408</v>
      </c>
      <c r="GB40" s="107">
        <f>IF($H$120="yes",GA40*$FR$38,0)</f>
        <v>0</v>
      </c>
      <c r="GC40" s="107">
        <f>IF($H$120="no",GA40*$FS$38,0)</f>
        <v>297840</v>
      </c>
      <c r="GD40" s="107">
        <f>IF($H$120="yes",ROUND($I$17*GA40,0)*($FR$39+$FR$40),ROUND($I$17*GA40,0)*($FS$39+$FS$40))</f>
        <v>98550</v>
      </c>
      <c r="GE40" s="107">
        <f>IF($H$120="yes",ROUND($I$20*GA40,0)*($FR$39+$FR$40),ROUND($I$20*GA40,0)*($FS$39+$FS$40))</f>
        <v>2920</v>
      </c>
      <c r="GF40" s="107">
        <f aca="true" t="shared" si="44" ref="GF40:GF49">IF($H$117="no",ROUND($I$20*GA40,0)*($I$18*$I$19),0)</f>
        <v>2160</v>
      </c>
      <c r="GG40" s="107">
        <f aca="true" t="shared" si="45" ref="GG40:GG49">IF($H$117="yes",ROUND(GA40*$I$17,0)*$I$18*$I$19,0)</f>
        <v>0</v>
      </c>
      <c r="GH40" s="107">
        <v>0</v>
      </c>
      <c r="GI40" s="107">
        <v>0</v>
      </c>
      <c r="GJ40" s="107">
        <v>0</v>
      </c>
      <c r="GK40" s="107">
        <v>0</v>
      </c>
      <c r="GL40" s="107">
        <v>0</v>
      </c>
      <c r="GM40" s="107">
        <v>0</v>
      </c>
      <c r="GN40" s="107">
        <v>0</v>
      </c>
      <c r="GO40" s="107">
        <v>0</v>
      </c>
      <c r="GP40" s="107">
        <v>0</v>
      </c>
      <c r="GQ40" s="107">
        <v>0</v>
      </c>
      <c r="GR40" s="107">
        <v>0</v>
      </c>
      <c r="GS40" s="107">
        <v>0</v>
      </c>
      <c r="GT40" s="107">
        <v>0</v>
      </c>
      <c r="GU40" s="107">
        <v>0</v>
      </c>
      <c r="GV40" s="107">
        <v>0</v>
      </c>
      <c r="GW40" s="107">
        <v>0</v>
      </c>
      <c r="GX40" s="107">
        <v>0</v>
      </c>
      <c r="GY40" s="107">
        <v>0</v>
      </c>
      <c r="GZ40" s="107">
        <v>0</v>
      </c>
      <c r="HA40" s="107">
        <v>0</v>
      </c>
      <c r="HB40" s="107">
        <v>0</v>
      </c>
      <c r="HC40" s="107">
        <v>0</v>
      </c>
      <c r="HD40" s="107">
        <v>0</v>
      </c>
      <c r="HE40" s="107">
        <v>0</v>
      </c>
      <c r="HF40" s="107">
        <v>0</v>
      </c>
      <c r="HG40" s="107">
        <v>0</v>
      </c>
      <c r="HH40" s="107">
        <v>0</v>
      </c>
      <c r="HI40" s="107">
        <v>0</v>
      </c>
      <c r="HJ40" s="107">
        <v>0</v>
      </c>
      <c r="HK40" s="107">
        <v>0</v>
      </c>
      <c r="HL40" s="107">
        <v>0</v>
      </c>
      <c r="HM40" s="107">
        <v>0</v>
      </c>
      <c r="HN40" s="107">
        <v>0</v>
      </c>
      <c r="HO40" s="107">
        <v>0</v>
      </c>
      <c r="HP40" s="107">
        <v>0</v>
      </c>
      <c r="HQ40" s="107">
        <v>0</v>
      </c>
      <c r="HR40" s="107">
        <v>0</v>
      </c>
      <c r="HS40" s="107">
        <v>0</v>
      </c>
      <c r="HT40" s="107">
        <v>0</v>
      </c>
      <c r="HU40" s="107">
        <v>0</v>
      </c>
      <c r="HV40" s="107">
        <v>0</v>
      </c>
      <c r="HW40" s="107">
        <v>0</v>
      </c>
      <c r="HX40" s="107">
        <v>0</v>
      </c>
      <c r="HY40" s="107">
        <v>0</v>
      </c>
      <c r="HZ40" s="107">
        <v>0</v>
      </c>
      <c r="IA40" s="107">
        <v>0</v>
      </c>
      <c r="IB40" s="107">
        <v>0</v>
      </c>
      <c r="IC40" s="107">
        <v>0</v>
      </c>
      <c r="ID40" s="107">
        <v>0</v>
      </c>
      <c r="IE40" s="107">
        <v>0</v>
      </c>
      <c r="IF40" s="107">
        <v>0</v>
      </c>
      <c r="IG40" s="107">
        <v>0</v>
      </c>
      <c r="IH40" s="107">
        <v>0</v>
      </c>
      <c r="II40" s="107">
        <v>0</v>
      </c>
      <c r="IJ40" s="107">
        <v>0</v>
      </c>
      <c r="IK40" s="107">
        <v>0</v>
      </c>
      <c r="IL40" s="107">
        <f t="shared" si="34"/>
        <v>556016.6666666667</v>
      </c>
      <c r="IM40" s="107">
        <f t="shared" si="35"/>
        <v>123856.66666666667</v>
      </c>
      <c r="IN40" s="107">
        <f t="shared" si="36"/>
        <v>6480</v>
      </c>
      <c r="IO40" s="27">
        <f t="shared" si="36"/>
        <v>0</v>
      </c>
    </row>
    <row r="41" spans="1:249" ht="15.75">
      <c r="A41" s="9"/>
      <c r="B41" s="420"/>
      <c r="C41" s="424"/>
      <c r="D41" s="333" t="s">
        <v>51</v>
      </c>
      <c r="E41" s="132" t="s">
        <v>52</v>
      </c>
      <c r="G41" s="42" t="s">
        <v>247</v>
      </c>
      <c r="H41" s="440"/>
      <c r="I41" s="129"/>
      <c r="J41" s="203"/>
      <c r="K41" s="266" t="s">
        <v>248</v>
      </c>
      <c r="L41" s="273"/>
      <c r="M41" s="273"/>
      <c r="N41" s="273"/>
      <c r="O41" s="273"/>
      <c r="P41" s="273"/>
      <c r="Q41" s="81"/>
      <c r="R41" s="81"/>
      <c r="S41" s="42" t="s">
        <v>249</v>
      </c>
      <c r="T41" s="100">
        <f>$DU$10+$DX$10+$EA$10+$ED$10+$EI$38+$EL$38+$EO$38+$ER$38+$EU$38+$EX$38+$FA$38+$FD$38</f>
        <v>434218.73551508284</v>
      </c>
      <c r="U41" s="98">
        <f>T41/$I$7</f>
        <v>361.84894626256903</v>
      </c>
      <c r="V41" s="171">
        <f>IF($I$14="no",T41/(($I$7*$I$10)/100),T41/$T$1)</f>
        <v>1.8748650065418084</v>
      </c>
      <c r="W41" s="47">
        <f>(T41/$T$13)*100</f>
        <v>11.112763592428006</v>
      </c>
      <c r="X41" s="47">
        <f>(T41/$T$47)*100</f>
        <v>44.33222128478466</v>
      </c>
      <c r="Y41" s="100">
        <f>$DU$11+$DX$11+$EA$11+$ED$11+$EI$39+$EL$39+$EO$39+$ER$39+$EU$39+$EX$39+$FA$39+$FD$39</f>
        <v>472965.71266379446</v>
      </c>
      <c r="Z41" s="98">
        <f>Y41/$I$7</f>
        <v>394.13809388649537</v>
      </c>
      <c r="AA41" s="171">
        <f>IF($I$14="no",Y41/(($I$7*$I$10)/100),Y41/$Y$1)</f>
        <v>2.0219468213537954</v>
      </c>
      <c r="AB41" s="47">
        <f>(Y41/$Y$13)*100</f>
        <v>11.993499728042119</v>
      </c>
      <c r="AC41" s="47">
        <f>(Y41/$Y$47)*100</f>
        <v>48.2881527648843</v>
      </c>
      <c r="AD41" s="100">
        <f>$DU$12+$DX$12+$EA$12+$ED$12+$EI$40+$EL$40+$EO$40+$ER$40+$EU$40+$EX$40+$FA$40+$FD$40</f>
        <v>515171.63748684013</v>
      </c>
      <c r="AE41" s="98">
        <f>AD41/$I$7</f>
        <v>429.3096979057001</v>
      </c>
      <c r="AF41" s="171">
        <f>IF($I$14="no",AD41/(($I$7*$I$10)/100),AD41/$AD$1)</f>
        <v>2.1805730612903442</v>
      </c>
      <c r="AG41" s="47">
        <f>(AD41/$AD$13)*100</f>
        <v>12.943984987080418</v>
      </c>
      <c r="AH41" s="47">
        <f>(AD41/$AD$47)*100</f>
        <v>52.59723076117277</v>
      </c>
      <c r="AI41" s="100">
        <f>$DU$13+$DX$13+$EA$13+$ED$13+$EI$41+$EL$41+$EO$41+$ER$41+$EU$41+$EX$41+$FA$41+$FD$41</f>
        <v>561145.4114520408</v>
      </c>
      <c r="AJ41" s="98">
        <f>AI41/$I$7</f>
        <v>467.621176210034</v>
      </c>
      <c r="AK41" s="171">
        <f>IF($I$14="no",AI41/(($I$7*$I$10)/100),AI41/$AI$1)</f>
        <v>2.3516502932217405</v>
      </c>
      <c r="AL41" s="47">
        <f>(AI41/$AI$13)*100</f>
        <v>13.969739559452607</v>
      </c>
      <c r="AM41" s="47">
        <f>(AI41/$AI$47)*100</f>
        <v>57.29099303816035</v>
      </c>
      <c r="AN41" s="100">
        <f>$DU$14+$DX$14+$EA$14+$ED$14+$EI$42+$EL$42+$EO$42+$ER$42+$EU$42+$EX$42+$FA$42+$FD$42</f>
        <v>611223.5328343773</v>
      </c>
      <c r="AO41" s="98">
        <f>AN41/$I$7</f>
        <v>509.3529440286477</v>
      </c>
      <c r="AP41" s="171">
        <f>IF($I$14="no",AN41/(($I$7*$I$10)/100),AN41/$AN$1)</f>
        <v>2.5361563088911216</v>
      </c>
      <c r="AQ41" s="47">
        <f>(AN41/$AN$13)*100</f>
        <v>15.076720291052863</v>
      </c>
      <c r="AR41" s="47">
        <f>(AN41/$AN$47)*100</f>
        <v>62.403794898297804</v>
      </c>
      <c r="AS41" s="42" t="s">
        <v>249</v>
      </c>
      <c r="AT41" s="100">
        <f>$DU$15+$DX$15+$EA$15+$ED$15+$EI$43+$EL$43+$EO$43+$ER$43+$EU$43+$EX$43+$FA$43+$FD$43</f>
        <v>137488.9247448498</v>
      </c>
      <c r="AU41" s="98">
        <f>AT41/$I$7</f>
        <v>114.57410395404149</v>
      </c>
      <c r="AV41" s="171">
        <f>IF($I$14="no",AT41/(($I$7*$I$10)/100),AT41/$AT$1)</f>
        <v>0.5648358994847628</v>
      </c>
      <c r="AW41" s="47">
        <f>(AT41/$AT$13)*100</f>
        <v>3.3602032525192844</v>
      </c>
      <c r="AX41" s="47">
        <f>(AT41/$AT$47)*100</f>
        <v>29.169554097144623</v>
      </c>
      <c r="AY41" s="100">
        <f>$DU$16+$DX$16+$EA$16+$ED$16+$EI$44+$EL$44+$EO$44+$ER$44+$EU$44+$EX$44+$FA$44+$FD$44</f>
        <v>149362.64778651064</v>
      </c>
      <c r="AZ41" s="204">
        <f>AY41/$I$7</f>
        <v>124.46887315542554</v>
      </c>
      <c r="BA41" s="171">
        <f>IF($I$14="no",AY41/(($I$7*$I$10)/100),AY41/$AY$1)</f>
        <v>0.6075404605882325</v>
      </c>
      <c r="BB41" s="47">
        <f>(AY41/$AY$13)*100</f>
        <v>3.616829082158151</v>
      </c>
      <c r="BC41" s="47">
        <f>(AY41/$AY$47)*100</f>
        <v>31.68867487171605</v>
      </c>
      <c r="BD41" s="100">
        <f>$DU$17+$DX$17+$EA$17+$ED$17+$EI$45+$EL$45+$EO$45+$ER$45+$EU$45+$EX$45+$FA$45+$FD$45</f>
        <v>162262.48208616412</v>
      </c>
      <c r="BE41" s="204">
        <f>BD41/$I$7</f>
        <v>135.21873507180342</v>
      </c>
      <c r="BF41" s="171">
        <f>IF($I$14="no",BD41/(($I$7*$I$10)/100),BD41/$BD$1)</f>
        <v>0.6534764535550881</v>
      </c>
      <c r="BG41" s="47">
        <f>(BD41/$BD$13)*100</f>
        <v>3.8930447871539124</v>
      </c>
      <c r="BH41" s="47">
        <f>(BD41/$BD$47)*100</f>
        <v>34.42549469299434</v>
      </c>
      <c r="BI41" s="100">
        <f>$DU$18+$DX$18+$EA$18+$ED$18+$EI$46+$EL$46+$EO$46+$ER$46+$EU$46+$EX$46+$FA$46+$FD$46</f>
        <v>176277.16313269018</v>
      </c>
      <c r="BJ41" s="204">
        <f>BI41/$I$7</f>
        <v>146.89763594390848</v>
      </c>
      <c r="BK41" s="171">
        <f>IF($I$14="no",BI41/(($I$7*$I$10)/100),BI41/$BI$1)</f>
        <v>0.7028886125207986</v>
      </c>
      <c r="BL41" s="47">
        <f>(BI41/$BI$13)*100</f>
        <v>4.1903453554811145</v>
      </c>
      <c r="BM41" s="47">
        <f>(BI41/$BI$47)*100</f>
        <v>37.39883962022771</v>
      </c>
      <c r="BN41" s="100">
        <f>$DU$19+$DX$19+$EA$19+$ED$19+$EI$47+$EL$47+$EO$47+$ER$47+$EU$47+$EX$47+$FA$47+$FD$47</f>
        <v>191503.105374399</v>
      </c>
      <c r="BO41" s="204">
        <f>BN41/$I$7</f>
        <v>159.5859211453325</v>
      </c>
      <c r="BP41" s="171">
        <f>IF($I$14="no",BN41/(($I$7*$I$10)/100),BN41/$BN$1)</f>
        <v>0.7560402232704039</v>
      </c>
      <c r="BQ41" s="47">
        <f>(BN41/$BN$13)*100</f>
        <v>4.510339849991539</v>
      </c>
      <c r="BR41" s="47">
        <f>(BN41/$BN$47)*100</f>
        <v>40.62916487532547</v>
      </c>
      <c r="BS41" s="42" t="s">
        <v>249</v>
      </c>
      <c r="BT41" s="100">
        <f>$DU$20+$DX$20+$EA$20+$ED$20+$EI$48+$EL$48+$EO$48+$ER$48+$EU$48+$EX$48+$FA$48+$FD$48</f>
        <v>207138.4845133298</v>
      </c>
      <c r="BU41" s="204">
        <f>BT41/$I$7</f>
        <v>172.61540376110818</v>
      </c>
      <c r="BV41" s="171">
        <f>IF($I$14="no",BT41/(($I$7*$I$10)/100),BT41/$BT$1)</f>
        <v>0.8096708456165459</v>
      </c>
      <c r="BW41" s="47">
        <f>(BT41/$BT$13)*100</f>
        <v>4.833604881810458</v>
      </c>
      <c r="BX41" s="47">
        <f>(BT41/$BT$47)*100</f>
        <v>40.07096576869297</v>
      </c>
      <c r="BY41" s="100">
        <f>$DU$21+$DX$21+$EA$21+$ED$21+$EI$49+$EL$49+$EO$49+$ER$49+$EU$49+$EX$49+$FA$49+$FD$49</f>
        <v>225028.6984718259</v>
      </c>
      <c r="BZ41" s="204">
        <f>BY41/$I$7</f>
        <v>187.52391539318825</v>
      </c>
      <c r="CA41" s="171">
        <f>IF($I$14="no",BY41/(($I$7*$I$10)/100),BY41/$BY$1)</f>
        <v>0.8708918806669269</v>
      </c>
      <c r="CB41" s="47">
        <f>(BY41/$BY$13)*100</f>
        <v>5.202623701426297</v>
      </c>
      <c r="CC41" s="47">
        <f>(BY41/$BY$47)*100</f>
        <v>43.53182989932418</v>
      </c>
      <c r="CD41" s="100">
        <f>$DU$22+$DX$22+$EA$22+$ED$22+$EI$50+$EL$50+$EO$50+$ER$50+$EU$50+$EX$50+$FA$50+$FD$50</f>
        <v>244465.09046653187</v>
      </c>
      <c r="CE41" s="204">
        <f>CD41/$I$7</f>
        <v>203.7209087221099</v>
      </c>
      <c r="CF41" s="171">
        <f>IF($I$14="no",CD41/(($I$7*$I$10)/100),CD41/$CD$1)</f>
        <v>0.9367459202888577</v>
      </c>
      <c r="CG41" s="47">
        <f>(CD41/$CD$13)*100</f>
        <v>5.5998034602468465</v>
      </c>
      <c r="CH41" s="47">
        <f>(CD41/$CD$47)*100</f>
        <v>47.291802364685346</v>
      </c>
      <c r="CI41" s="100">
        <f>$DU$23+$DX$23+$EA$23+$ED$23+$EI$51+$EL$51+$EO$51+$ER$51+$EU$51+$EX$51+$FA$51+$FD$51</f>
        <v>265581.38151700195</v>
      </c>
      <c r="CJ41" s="204">
        <f>CI41/$I$7</f>
        <v>221.31781793083496</v>
      </c>
      <c r="CK41" s="171">
        <f>IF($I$14="no",CI41/(($I$7*$I$10)/100),CI41/$CI$1)</f>
        <v>1.007583881701605</v>
      </c>
      <c r="CL41" s="47">
        <f>(CI41/$CI$13)*100</f>
        <v>6.0272926959333795</v>
      </c>
      <c r="CM41" s="47">
        <f>(CI41/$CI$47)*100</f>
        <v>51.3767515127549</v>
      </c>
      <c r="CN41" s="100">
        <f>$DU$24+$DX$24+$EA$24+$ED$24+$EI$52+$EL$52+$EO$52+$ER$52+$EU$52+$EX$52+$FA$52+$FD$52</f>
        <v>288522.86555923533</v>
      </c>
      <c r="CO41" s="204">
        <f>CN41/$I$7</f>
        <v>240.43572129936277</v>
      </c>
      <c r="CP41" s="171">
        <f>IF($I$14="no",CN41/(($I$7*$I$10)/100),CN41/$CN$1)</f>
        <v>1.0837832854606242</v>
      </c>
      <c r="CQ41" s="47">
        <f>(CN41/$CN$13)*100</f>
        <v>6.487403856111612</v>
      </c>
      <c r="CR41" s="47">
        <f>(CN41/$CN$47)*100</f>
        <v>55.81478447364678</v>
      </c>
      <c r="CS41" s="42" t="s">
        <v>249</v>
      </c>
      <c r="CT41" s="100">
        <f>$DU$25+$DX$25+$EA$25+$ED$25+$EI$53+$EL$53+$EO$53+$ER$53+$EU$53+$EX$53+$FA$53+$FD$53</f>
        <v>293285.1617402545</v>
      </c>
      <c r="CU41" s="204">
        <f>CT41/$I$7</f>
        <v>244.40430145021207</v>
      </c>
      <c r="CV41" s="171">
        <f>IF($I$14="no",CT41/(($I$7*$I$10)/100),CT41/$CT$1)</f>
        <v>1.0907643352328342</v>
      </c>
      <c r="CW41" s="47">
        <f>(CT41/$CT$13)*100</f>
        <v>6.53347407418801</v>
      </c>
      <c r="CX41" s="47">
        <f>(CT41/$CT$47)*100</f>
        <v>56.73605126623894</v>
      </c>
      <c r="CY41" s="100">
        <f>$DU$26+$DX$26+$EA$26+$ED$26+$EI$54+$EL$54+$EO$54+$ER$54+$EU$54+$EX$54+$FA$54+$FD$54</f>
        <v>318549.70108142385</v>
      </c>
      <c r="CZ41" s="204">
        <f>CY41/$I$7</f>
        <v>265.45808423451984</v>
      </c>
      <c r="DA41" s="171">
        <f>IF($I$14="no",CY41/(($I$7*$I$10)/100),CY41/$CY$1)</f>
        <v>1.1729963650764443</v>
      </c>
      <c r="DB41" s="47">
        <f>(CY41/$CY$13)*100</f>
        <v>7.030594186555941</v>
      </c>
      <c r="DC41" s="47">
        <f>(CY41/$CY$47)*100</f>
        <v>61.623479565622134</v>
      </c>
      <c r="DD41" s="100">
        <f>$DU$27+$DX$27+$EA$27+$ED$27+$EI$55+$EL$55+$EO$55+$ER$55+$EU$55+$EX$55+$FA$55+$FD$55</f>
        <v>345991.90331998497</v>
      </c>
      <c r="DE41" s="204">
        <f>DD41/$I$7</f>
        <v>288.3265860999875</v>
      </c>
      <c r="DF41" s="171">
        <f>IF($I$14="no",DD41/(($I$7*$I$10)/100),DD41/$DD$1)</f>
        <v>1.2614325300642757</v>
      </c>
      <c r="DG41" s="47">
        <f>(DD41/$DD$13)*100</f>
        <v>7.565522024862176</v>
      </c>
      <c r="DH41" s="47">
        <f>(DD41/$DD$47)*100</f>
        <v>66.93217702521063</v>
      </c>
      <c r="DI41" s="100">
        <f>$DU$28+$DX$28+$EA$28+$ED$28+$EI$56+$EL$56+$EO$56+$ER$56+$EU$56+$EX$56+$FA$56+$FD$56</f>
        <v>375799.5857370212</v>
      </c>
      <c r="DJ41" s="204">
        <f>DI41/$I$7</f>
        <v>313.16632144751765</v>
      </c>
      <c r="DK41" s="171">
        <f>IF($I$14="no",DI41/(($I$7*$I$10)/100),DI41/$DI$1)</f>
        <v>1.3565412795422414</v>
      </c>
      <c r="DL41" s="47">
        <f>(DI41/$DI$13)*100</f>
        <v>8.141132185321096</v>
      </c>
      <c r="DM41" s="47">
        <f>(DI41/$DI$47)*100</f>
        <v>72.69847692155014</v>
      </c>
      <c r="DN41" s="104">
        <f>$DU$29+$DX$29+$EA$29+$ED$29+$EI$57+$EL$57+$EO$57+$ER$57+$EU$57+$EX$57+$FA$57+$FD$57</f>
        <v>408176.774516641</v>
      </c>
      <c r="DO41" s="204">
        <f>DN41/$I$7</f>
        <v>340.1473120972008</v>
      </c>
      <c r="DP41" s="171">
        <f>IF($I$14="no",DN41/(($I$7*$I$10)/100),DN41/$DN$1)</f>
        <v>1.4588264622624287</v>
      </c>
      <c r="DQ41" s="47">
        <f>(DN41/$DN$13)*100</f>
        <v>8.760517798077498</v>
      </c>
      <c r="DR41" s="50">
        <f>(DN41/$DN$47)*100</f>
        <v>78.9618481455062</v>
      </c>
      <c r="DT41" s="62">
        <v>3</v>
      </c>
      <c r="DU41" s="107">
        <f t="shared" si="37"/>
        <v>2028375.6405146134</v>
      </c>
      <c r="DV41" s="107">
        <f t="shared" si="38"/>
        <v>1782207.6510081969</v>
      </c>
      <c r="DW41" s="107">
        <f t="shared" si="38"/>
        <v>14384.110317220691</v>
      </c>
      <c r="DX41" s="107">
        <f t="shared" si="38"/>
        <v>15044.605178725722</v>
      </c>
      <c r="DY41" s="107">
        <f t="shared" si="38"/>
        <v>8072.714973950388</v>
      </c>
      <c r="DZ41" s="10">
        <f t="shared" si="38"/>
        <v>263228.8901825692</v>
      </c>
      <c r="EA41" s="79">
        <f t="shared" si="39"/>
        <v>471895.44921908906</v>
      </c>
      <c r="EB41" s="81"/>
      <c r="EC41" s="75"/>
      <c r="ED41" s="81"/>
      <c r="EE41" s="81"/>
      <c r="EF41" s="81"/>
      <c r="EG41" s="81"/>
      <c r="EH41" s="62">
        <v>4</v>
      </c>
      <c r="EI41" s="107">
        <v>0</v>
      </c>
      <c r="EJ41" s="107">
        <v>0</v>
      </c>
      <c r="EK41" s="107">
        <v>0</v>
      </c>
      <c r="EL41" s="107">
        <v>0</v>
      </c>
      <c r="EM41" s="107">
        <v>0</v>
      </c>
      <c r="EN41" s="107">
        <v>0</v>
      </c>
      <c r="EO41" s="107">
        <v>0</v>
      </c>
      <c r="EP41" s="107">
        <v>0</v>
      </c>
      <c r="EQ41" s="107">
        <v>0</v>
      </c>
      <c r="ER41" s="107">
        <v>0</v>
      </c>
      <c r="ES41" s="107">
        <v>0</v>
      </c>
      <c r="ET41" s="107">
        <v>0</v>
      </c>
      <c r="EU41" s="107">
        <v>0</v>
      </c>
      <c r="EV41" s="107">
        <v>0</v>
      </c>
      <c r="EW41" s="107">
        <v>0</v>
      </c>
      <c r="EX41" s="107">
        <v>0</v>
      </c>
      <c r="EY41" s="107">
        <v>0</v>
      </c>
      <c r="EZ41" s="107">
        <v>0</v>
      </c>
      <c r="FA41" s="107">
        <v>0</v>
      </c>
      <c r="FB41" s="107">
        <v>0</v>
      </c>
      <c r="FC41" s="107">
        <v>0</v>
      </c>
      <c r="FD41" s="107">
        <v>0</v>
      </c>
      <c r="FE41" s="107">
        <v>0</v>
      </c>
      <c r="FF41" s="79">
        <v>0</v>
      </c>
      <c r="FH41" s="62">
        <v>4</v>
      </c>
      <c r="FI41" s="107">
        <f t="shared" si="40"/>
        <v>345</v>
      </c>
      <c r="FJ41" s="107">
        <v>0</v>
      </c>
      <c r="FK41" s="107">
        <v>0</v>
      </c>
      <c r="FL41" s="107">
        <v>0</v>
      </c>
      <c r="FM41" s="107">
        <v>0</v>
      </c>
      <c r="FN41" s="107">
        <v>0</v>
      </c>
      <c r="FO41" s="107">
        <v>0</v>
      </c>
      <c r="FP41" s="107">
        <f t="shared" si="32"/>
        <v>1620</v>
      </c>
      <c r="FQ41" s="107">
        <f t="shared" si="33"/>
        <v>0</v>
      </c>
      <c r="FR41" s="107">
        <v>0</v>
      </c>
      <c r="FS41" s="107">
        <v>0</v>
      </c>
      <c r="FT41" s="107">
        <f t="shared" si="43"/>
        <v>178</v>
      </c>
      <c r="FU41" s="107">
        <f>IF($H$120="yes",FT41*$FR$40,0)</f>
        <v>0</v>
      </c>
      <c r="FV41" s="107">
        <f>IF($H$120="no",FT41*$FS$40,0)</f>
        <v>43313.333333333336</v>
      </c>
      <c r="FW41" s="107">
        <v>0</v>
      </c>
      <c r="FX41" s="107">
        <v>0</v>
      </c>
      <c r="FY41" s="107">
        <f t="shared" si="41"/>
        <v>1080</v>
      </c>
      <c r="FZ41" s="107">
        <f t="shared" si="42"/>
        <v>0</v>
      </c>
      <c r="GA41" s="107">
        <f aca="true" t="shared" si="46" ref="GA41:GA49">ROUND(GA40-($I$17+$I$20)*GA40,0)</f>
        <v>269</v>
      </c>
      <c r="GB41" s="107">
        <f>IF($H$120="yes",GA41*$FR$39,0)</f>
        <v>0</v>
      </c>
      <c r="GC41" s="107">
        <f>IF($H$120="no",GA41*$FS$39,0)</f>
        <v>130913.33333333334</v>
      </c>
      <c r="GD41" s="107">
        <f>IF($H$120="yes",ROUND($I$17*GA41,0)*($FR$40),ROUND($I$17*GA41,0)*($FS$40))</f>
        <v>21656.666666666668</v>
      </c>
      <c r="GE41" s="107">
        <f>IF($H$120="yes",ROUND($I$20*GA41,0)*($FR$40),ROUND($I$20*GA41,0)*($FS$40))</f>
        <v>730</v>
      </c>
      <c r="GF41" s="107">
        <f t="shared" si="44"/>
        <v>1620</v>
      </c>
      <c r="GG41" s="107">
        <f t="shared" si="45"/>
        <v>0</v>
      </c>
      <c r="GH41" s="107">
        <f>ROUND($I$7*($I$17+$I$20),0)</f>
        <v>408</v>
      </c>
      <c r="GI41" s="107">
        <f>IF($H$120="yes",GH41*$FR$38,0)</f>
        <v>0</v>
      </c>
      <c r="GJ41" s="107">
        <f>IF($H$120="no",GH41*$FS$38,0)</f>
        <v>297840</v>
      </c>
      <c r="GK41" s="107">
        <f>IF($H$120="yes",ROUND($I$17*GH41,0)*($FR$39+$FR$40),ROUND($I$17*GH41,0)*($FS$39+$FS$40))</f>
        <v>98550</v>
      </c>
      <c r="GL41" s="107">
        <f>IF($H$120="yes",ROUND($I$20*GH41,0)*($FR$39+$FR$40),ROUND($I$20*GH41,0)*($FS$39+$FS$40))</f>
        <v>2920</v>
      </c>
      <c r="GM41" s="107">
        <f aca="true" t="shared" si="47" ref="GM41:GM50">IF($H$117="no",ROUND($I$20*GH41,0)*($I$18*$I$19),0)</f>
        <v>2160</v>
      </c>
      <c r="GN41" s="107">
        <f aca="true" t="shared" si="48" ref="GN41:GN50">IF($H$117="yes",ROUND(GH41*$I$17,0)*$I$18*$I$19,0)</f>
        <v>0</v>
      </c>
      <c r="GO41" s="107">
        <v>0</v>
      </c>
      <c r="GP41" s="107">
        <v>0</v>
      </c>
      <c r="GQ41" s="107">
        <v>0</v>
      </c>
      <c r="GR41" s="107">
        <v>0</v>
      </c>
      <c r="GS41" s="107">
        <v>0</v>
      </c>
      <c r="GT41" s="107">
        <v>0</v>
      </c>
      <c r="GU41" s="107">
        <v>0</v>
      </c>
      <c r="GV41" s="107">
        <v>0</v>
      </c>
      <c r="GW41" s="107">
        <v>0</v>
      </c>
      <c r="GX41" s="107">
        <v>0</v>
      </c>
      <c r="GY41" s="107">
        <v>0</v>
      </c>
      <c r="GZ41" s="107">
        <v>0</v>
      </c>
      <c r="HA41" s="107">
        <v>0</v>
      </c>
      <c r="HB41" s="107">
        <v>0</v>
      </c>
      <c r="HC41" s="107">
        <v>0</v>
      </c>
      <c r="HD41" s="107">
        <v>0</v>
      </c>
      <c r="HE41" s="107">
        <v>0</v>
      </c>
      <c r="HF41" s="107">
        <v>0</v>
      </c>
      <c r="HG41" s="107">
        <v>0</v>
      </c>
      <c r="HH41" s="107">
        <v>0</v>
      </c>
      <c r="HI41" s="107">
        <v>0</v>
      </c>
      <c r="HJ41" s="107">
        <v>0</v>
      </c>
      <c r="HK41" s="107">
        <v>0</v>
      </c>
      <c r="HL41" s="107">
        <v>0</v>
      </c>
      <c r="HM41" s="107">
        <v>0</v>
      </c>
      <c r="HN41" s="107">
        <v>0</v>
      </c>
      <c r="HO41" s="107">
        <v>0</v>
      </c>
      <c r="HP41" s="107">
        <v>0</v>
      </c>
      <c r="HQ41" s="107">
        <v>0</v>
      </c>
      <c r="HR41" s="107">
        <v>0</v>
      </c>
      <c r="HS41" s="107">
        <v>0</v>
      </c>
      <c r="HT41" s="107">
        <v>0</v>
      </c>
      <c r="HU41" s="107">
        <v>0</v>
      </c>
      <c r="HV41" s="107">
        <v>0</v>
      </c>
      <c r="HW41" s="107">
        <v>0</v>
      </c>
      <c r="HX41" s="107">
        <v>0</v>
      </c>
      <c r="HY41" s="107">
        <v>0</v>
      </c>
      <c r="HZ41" s="107">
        <v>0</v>
      </c>
      <c r="IA41" s="107">
        <v>0</v>
      </c>
      <c r="IB41" s="107">
        <v>0</v>
      </c>
      <c r="IC41" s="107">
        <v>0</v>
      </c>
      <c r="ID41" s="107">
        <v>0</v>
      </c>
      <c r="IE41" s="107">
        <v>0</v>
      </c>
      <c r="IF41" s="107">
        <v>0</v>
      </c>
      <c r="IG41" s="107">
        <v>0</v>
      </c>
      <c r="IH41" s="107">
        <v>0</v>
      </c>
      <c r="II41" s="107">
        <v>0</v>
      </c>
      <c r="IJ41" s="107">
        <v>0</v>
      </c>
      <c r="IK41" s="107">
        <v>0</v>
      </c>
      <c r="IL41" s="107">
        <f t="shared" si="34"/>
        <v>472066.6666666667</v>
      </c>
      <c r="IM41" s="107">
        <f t="shared" si="35"/>
        <v>123856.66666666667</v>
      </c>
      <c r="IN41" s="107">
        <f t="shared" si="36"/>
        <v>6480</v>
      </c>
      <c r="IO41" s="27">
        <f t="shared" si="36"/>
        <v>0</v>
      </c>
    </row>
    <row r="42" spans="1:249" ht="16.5" thickBot="1">
      <c r="A42" s="11" t="s">
        <v>63</v>
      </c>
      <c r="B42" s="421" t="s">
        <v>64</v>
      </c>
      <c r="C42" s="421" t="s">
        <v>65</v>
      </c>
      <c r="D42" s="374" t="s">
        <v>66</v>
      </c>
      <c r="E42" s="295" t="s">
        <v>66</v>
      </c>
      <c r="G42" s="395" t="s">
        <v>250</v>
      </c>
      <c r="H42" s="441"/>
      <c r="I42" s="507">
        <v>0.41</v>
      </c>
      <c r="J42" s="203"/>
      <c r="K42" s="270" t="s">
        <v>251</v>
      </c>
      <c r="L42" s="273"/>
      <c r="M42" s="273"/>
      <c r="N42" s="273"/>
      <c r="O42" s="273"/>
      <c r="P42" s="273"/>
      <c r="Q42" s="81"/>
      <c r="R42" s="81"/>
      <c r="S42" s="42" t="s">
        <v>252</v>
      </c>
      <c r="T42" s="386">
        <f>$DV$10+$DY$10+$EB$10+$EE$10+$EJ$38+$EM$38+$EP$38+$ES$38+$EV$38+$EY$38+$FB$38+$FE$38</f>
        <v>471662.58999999997</v>
      </c>
      <c r="U42" s="460">
        <f>T42/$I$7</f>
        <v>393.0521583333333</v>
      </c>
      <c r="V42" s="464">
        <f>IF($I$14="no",T42/(($I$7*$I$10)/100),T42/$T$1)</f>
        <v>2.0365396804835925</v>
      </c>
      <c r="W42" s="47">
        <f>(T42/$T$13)*100</f>
        <v>12.071047215050976</v>
      </c>
      <c r="X42" s="47">
        <f>(T42/$T$47)*100</f>
        <v>48.155108477368636</v>
      </c>
      <c r="Y42" s="386">
        <f>$DV$11+$DY$11+$EB$11+$EE$11+$EJ$39+$EM$39+$EP$39+$ES$39+$EV$39+$EY$39+$FB$39+$FE$39</f>
        <v>432915.6128512884</v>
      </c>
      <c r="Z42" s="460">
        <f>Y42/$I$7</f>
        <v>360.763010709407</v>
      </c>
      <c r="AA42" s="464">
        <f>IF($I$14="no",Y42/(($I$7*$I$10)/100),Y42/$Y$1)</f>
        <v>1.8507310865921458</v>
      </c>
      <c r="AB42" s="47">
        <f>(Y42/$Y$13)*100</f>
        <v>10.977906317466923</v>
      </c>
      <c r="AC42" s="47">
        <f>(Y42/$Y$47)*100</f>
        <v>44.199176997269</v>
      </c>
      <c r="AD42" s="386">
        <f>$DV$12+$DY$12+$EB$12+$EE$12+$EJ$40+$EM$40+$EP$40+$ES$40+$EV$40+$EY$40+$FB$40+$FE$40</f>
        <v>390709.6880282427</v>
      </c>
      <c r="AE42" s="460">
        <f>AD42/$I$7</f>
        <v>325.59140669020223</v>
      </c>
      <c r="AF42" s="464">
        <f>IF($I$14="no",AD42/(($I$7*$I$10)/100),AD42/$AD$1)</f>
        <v>1.6537615010323696</v>
      </c>
      <c r="AG42" s="47">
        <f>(AD42/$AD$13)*100</f>
        <v>9.816806609959452</v>
      </c>
      <c r="AH42" s="47">
        <f>(AD42/$AD$47)*100</f>
        <v>39.89009900098052</v>
      </c>
      <c r="AI42" s="386">
        <f>$DV$13+$DY$13+$EB$13+$EE$13+$EJ$41+$EM$41+$EP$41+$ES$41+$EV$41+$EY$41+$FB$41+$FE$41</f>
        <v>344735.9140630421</v>
      </c>
      <c r="AJ42" s="460">
        <f>AI42/$I$7</f>
        <v>287.2799283858684</v>
      </c>
      <c r="AK42" s="464">
        <f>IF($I$14="no",AI42/(($I$7*$I$10)/100),AI42/$AI$1)</f>
        <v>1.4447205605631248</v>
      </c>
      <c r="AL42" s="47">
        <f>(AI42/$AI$13)*100</f>
        <v>8.582215657415441</v>
      </c>
      <c r="AM42" s="47">
        <f>(AI42/$AI$47)*100</f>
        <v>35.196336723992935</v>
      </c>
      <c r="AN42" s="386">
        <f>$DV$14+$DY$14+$EB$14+$EE$14+$EJ$42+$EM$42+$EP$42+$ES$42+$EV$42+$EY$42+$FB$42+$FE$42</f>
        <v>294657.79268070566</v>
      </c>
      <c r="AO42" s="460">
        <f>AN42/$I$7</f>
        <v>245.5481605672547</v>
      </c>
      <c r="AP42" s="464">
        <f>IF($I$14="no",AN42/(($I$7*$I$10)/100),AN42/$AN$1)</f>
        <v>1.2226267146582503</v>
      </c>
      <c r="AQ42" s="47">
        <f>(AN42/$AN$13)*100</f>
        <v>7.268164400060521</v>
      </c>
      <c r="AR42" s="47">
        <f>(AN42/$AN$47)*100</f>
        <v>30.083534863855494</v>
      </c>
      <c r="AS42" s="42" t="s">
        <v>252</v>
      </c>
      <c r="AT42" s="386">
        <f>$DV$15+$DY$15+$EB$15+$EE$15+$EJ$43+$EM$43+$EP$43+$ES$43+$EV$43+$EY$43+$FB$43+$FE$43</f>
        <v>260271.0124540683</v>
      </c>
      <c r="AU42" s="460">
        <f>AT42/$I$7</f>
        <v>216.89251037839023</v>
      </c>
      <c r="AV42" s="464">
        <f>IF($I$14="no",AT42/(($I$7*$I$10)/100),AT42/$AT$1)</f>
        <v>1.0692527540099948</v>
      </c>
      <c r="AW42" s="47">
        <f>(AT42/$AT$13)*100</f>
        <v>6.360974196340916</v>
      </c>
      <c r="AX42" s="47">
        <f>(AT42/$AT$47)*100</f>
        <v>55.21891593658663</v>
      </c>
      <c r="AY42" s="386">
        <f>$DV$16+$DY$16+$EB$16+$EE$16+$EJ$44+$EM$44+$EP$44+$ES$44+$EV$44+$EY$44+$FB$44+$FE$44</f>
        <v>248397.28941240747</v>
      </c>
      <c r="AZ42" s="460">
        <f>AY42/$I$7</f>
        <v>206.99774117700622</v>
      </c>
      <c r="BA42" s="464">
        <f>IF($I$14="no",AY42/(($I$7*$I$10)/100),AY42/$AY$1)</f>
        <v>1.0103690973273691</v>
      </c>
      <c r="BB42" s="47">
        <f>(AY42/$AY$13)*100</f>
        <v>6.01496126099867</v>
      </c>
      <c r="BC42" s="47">
        <f>(AY42/$AY$47)*100</f>
        <v>52.69979516201522</v>
      </c>
      <c r="BD42" s="386">
        <f>$DV$17+$DY$17+$EB$17+$EE$17+$EJ$45+$EM$45+$EP$45+$ES$45+$EV$45+$EY$45+$FB$45+$FE$45</f>
        <v>235497.455112754</v>
      </c>
      <c r="BE42" s="460">
        <f>BD42/$I$7</f>
        <v>196.24787926062834</v>
      </c>
      <c r="BF42" s="464">
        <f>IF($I$14="no",BD42/(($I$7*$I$10)/100),BD42/$BD$1)</f>
        <v>0.9484141978464975</v>
      </c>
      <c r="BG42" s="47">
        <f>(BD42/$BD$13)*100</f>
        <v>5.6501178105230885</v>
      </c>
      <c r="BH42" s="47">
        <f>(BD42/$BD$47)*100</f>
        <v>49.962975340736925</v>
      </c>
      <c r="BI42" s="386">
        <f>$DV$18+$DY$18+$EB$18+$EE$18+$EJ$46+$EM$46+$EP$46+$ES$46+$EV$46+$EY$46+$FB$46+$FE$46</f>
        <v>221482.7740662279</v>
      </c>
      <c r="BJ42" s="460">
        <f>BI42/$I$7</f>
        <v>184.56897838852325</v>
      </c>
      <c r="BK42" s="464">
        <f>IF($I$14="no",BI42/(($I$7*$I$10)/100),BI42/$BI$1)</f>
        <v>0.8831417354015632</v>
      </c>
      <c r="BL42" s="47">
        <f>(BI42/$BI$13)*100</f>
        <v>5.264943553288777</v>
      </c>
      <c r="BM42" s="47">
        <f>(BI42/$BI$47)*100</f>
        <v>46.989630413503555</v>
      </c>
      <c r="BN42" s="386">
        <f>$DV$19+$DY$19+$EB$19+$EE$19+$EJ$47+$EM$47+$EP$47+$ES$47+$EV$47+$EY$47+$FB$47+$FE$47</f>
        <v>206256.83182451912</v>
      </c>
      <c r="BO42" s="460">
        <f>BN42/$I$7</f>
        <v>171.88069318709927</v>
      </c>
      <c r="BP42" s="464">
        <f>IF($I$14="no",BN42/(($I$7*$I$10)/100),BN42/$BN$1)</f>
        <v>0.8142868538804496</v>
      </c>
      <c r="BQ42" s="47">
        <f>(BN42/$BN$13)*100</f>
        <v>4.857824138634029</v>
      </c>
      <c r="BR42" s="47">
        <f>(BN42/$BN$47)*100</f>
        <v>43.759305158405795</v>
      </c>
      <c r="BS42" s="42" t="s">
        <v>252</v>
      </c>
      <c r="BT42" s="386">
        <f>$DV$20+$DY$20+$EB$20+$EE$20+$EJ$48+$EM$48+$EP$48+$ES$48+$EV$48+$EY$48+$FB$48+$FE$48</f>
        <v>236206.61998847616</v>
      </c>
      <c r="BU42" s="460">
        <f>BT42/$I$7</f>
        <v>196.8388499903968</v>
      </c>
      <c r="BV42" s="464">
        <f>IF($I$14="no",BT42/(($I$7*$I$10)/100),BT42/$BT$1)</f>
        <v>0.9232934874252605</v>
      </c>
      <c r="BW42" s="47">
        <f>(BT42/$BT$13)*100</f>
        <v>5.511913800927578</v>
      </c>
      <c r="BX42" s="47">
        <f>(BT42/$BT$47)*100</f>
        <v>45.69420021651169</v>
      </c>
      <c r="BY42" s="386">
        <f>$DV$21+$DY$21+$EB$21+$EE$21+$EJ$49+$EM$49+$EP$49+$ES$49+$EV$49+$EY$49+$FB$49+$FE$49</f>
        <v>218316.40602998002</v>
      </c>
      <c r="BZ42" s="460">
        <f>BY42/$I$7</f>
        <v>181.93033835831667</v>
      </c>
      <c r="CA42" s="464">
        <f>IF($I$14="no",BY42/(($I$7*$I$10)/100),BY42/$BY$1)</f>
        <v>0.8449143896714953</v>
      </c>
      <c r="CB42" s="47">
        <f>(BY42/$BY$13)*100</f>
        <v>5.047436687565377</v>
      </c>
      <c r="CC42" s="47">
        <f>(BY42/$BY$47)*100</f>
        <v>42.23333608588048</v>
      </c>
      <c r="CD42" s="386">
        <f>$DV$22+$DY$22+$EB$22+$EE$22+$EJ$50+$EM$50+$EP$50+$ES$50+$EV$50+$EY$50+$FB$50+$FE$50</f>
        <v>198880.0140352741</v>
      </c>
      <c r="CE42" s="460">
        <f>CD42/$I$7</f>
        <v>165.73334502939508</v>
      </c>
      <c r="CF42" s="464">
        <f>IF($I$14="no",CD42/(($I$7*$I$10)/100),CD42/$CD$1)</f>
        <v>0.7620721691551249</v>
      </c>
      <c r="CG42" s="47">
        <f>(CD42/$CD$13)*100</f>
        <v>4.5556156449304455</v>
      </c>
      <c r="CH42" s="47">
        <f>(CD42/$CD$47)*100</f>
        <v>38.47336362051932</v>
      </c>
      <c r="CI42" s="386">
        <f>$DV$23+$DY$23+$EB$23+$EE$23+$EJ$51+$EM$51+$EP$51+$ES$51+$EV$51+$EY$51+$FB$51+$FE$51</f>
        <v>177763.722984804</v>
      </c>
      <c r="CJ42" s="460">
        <f>CI42/$I$7</f>
        <v>148.13643582067</v>
      </c>
      <c r="CK42" s="464">
        <f>IF($I$14="no",CI42/(($I$7*$I$10)/100),CI42/$CI$1)</f>
        <v>0.6744142266587737</v>
      </c>
      <c r="CL42" s="47">
        <f>(CI42/$CI$13)*100</f>
        <v>4.034296316361479</v>
      </c>
      <c r="CM42" s="47">
        <f>(CI42/$CI$47)*100</f>
        <v>34.38841447244976</v>
      </c>
      <c r="CN42" s="386">
        <f>$DV$24+$DY$24+$EB$24+$EE$24+$EJ$52+$EM$52+$EP$52+$ES$52+$EV$52+$EY$52+$FB$52+$FE$52</f>
        <v>154822.2389425706</v>
      </c>
      <c r="CO42" s="460">
        <f>CN42/$I$7</f>
        <v>129.01853245214218</v>
      </c>
      <c r="CP42" s="464">
        <f>IF($I$14="no",CN42/(($I$7*$I$10)/100),CN42/$CN$1)</f>
        <v>0.5815613762823245</v>
      </c>
      <c r="CQ42" s="47">
        <f>(CN42/$CN$13)*100</f>
        <v>3.4811604549299</v>
      </c>
      <c r="CR42" s="47">
        <f>(CN42/$CN$47)*100</f>
        <v>29.95038151155788</v>
      </c>
      <c r="CS42" s="42" t="s">
        <v>252</v>
      </c>
      <c r="CT42" s="386">
        <f>$DV$25+$DY$25+$EB$25+$EE$25+$EJ$53+$EM$53+$EP$53+$ES$53+$EV$53+$EY$53+$FB$53+$FE$53</f>
        <v>150059.94276155147</v>
      </c>
      <c r="CU42" s="460">
        <f>CT42/$I$7</f>
        <v>125.04995230129289</v>
      </c>
      <c r="CV42" s="464">
        <f>IF($I$14="no",CT42/(($I$7*$I$10)/100),CT42/$CT$1)</f>
        <v>0.558091765502759</v>
      </c>
      <c r="CW42" s="47">
        <f>(CT42/$CT$13)*100</f>
        <v>3.342865147998955</v>
      </c>
      <c r="CX42" s="47">
        <f>(CT42/$CT$47)*100</f>
        <v>29.029114718965726</v>
      </c>
      <c r="CY42" s="386">
        <f>$DV$26+$DY$26+$EB$26+$EE$26+$EJ$54+$EM$54+$EP$54+$ES$54+$EV$54+$EY$54+$FB$54+$FE$54</f>
        <v>124795.40342038214</v>
      </c>
      <c r="CZ42" s="460">
        <f>CY42/$I$7</f>
        <v>103.99616951698512</v>
      </c>
      <c r="DA42" s="464">
        <f>IF($I$14="no",CY42/(($I$7*$I$10)/100),CY42/$CY$1)</f>
        <v>0.4595344277310737</v>
      </c>
      <c r="DB42" s="47">
        <f>(CY42/$CY$13)*100</f>
        <v>2.7543138003823624</v>
      </c>
      <c r="DC42" s="47">
        <f>(CY42/$CY$47)*100</f>
        <v>24.14168641958254</v>
      </c>
      <c r="DD42" s="386">
        <f>$DV$27+$DY$27+$EB$27+$EE$27+$EJ$55+$EM$55+$EP$55+$ES$55+$EV$55+$EY$55+$FB$55+$FE$55</f>
        <v>97353.20118182109</v>
      </c>
      <c r="DE42" s="460">
        <f>DD42/$I$7</f>
        <v>81.12766765151757</v>
      </c>
      <c r="DF42" s="464">
        <f>IF($I$14="no",DD42/(($I$7*$I$10)/100),DD42/$DD$1)</f>
        <v>0.35493459152732626</v>
      </c>
      <c r="DG42" s="47">
        <f>(DD42/$DD$13)*100</f>
        <v>2.128742842432183</v>
      </c>
      <c r="DH42" s="47">
        <f>(DD42/$DD$47)*100</f>
        <v>18.832988959994022</v>
      </c>
      <c r="DI42" s="386">
        <f>$DV$28+$DY$28+$EB$28+$EE$28+$EJ$56+$EM$56+$EP$56+$ES$56+$EV$56+$EY$56+$FB$56+$FE$56</f>
        <v>67545.51876478478</v>
      </c>
      <c r="DJ42" s="460">
        <f>DI42/$I$7</f>
        <v>56.28793230398731</v>
      </c>
      <c r="DK42" s="464">
        <f>IF($I$14="no",DI42/(($I$7*$I$10)/100),DI42/$DI$1)</f>
        <v>0.24382220718211672</v>
      </c>
      <c r="DL42" s="47">
        <f>(DI42/$DI$13)*100</f>
        <v>1.463271961068656</v>
      </c>
      <c r="DM42" s="47">
        <f>(DI42/$DI$47)*100</f>
        <v>13.066689063654529</v>
      </c>
      <c r="DN42" s="457">
        <f>$DV$29+$DY$29+$EB$29+$EE$29+$EJ$57+$EM$57+$EP$57+$ES$57+$EV$57+$EY$57+$FB$57+$FE$57</f>
        <v>35168.32998516485</v>
      </c>
      <c r="DO42" s="460">
        <f>DN42/$I$7</f>
        <v>29.30694165430404</v>
      </c>
      <c r="DP42" s="464">
        <f>IF($I$14="no",DN42/(($I$7*$I$10)/100),DN42/$DN$1)</f>
        <v>0.12569184142505416</v>
      </c>
      <c r="DQ42" s="47">
        <f>(DN42/$DN$13)*100</f>
        <v>0.7548023307512773</v>
      </c>
      <c r="DR42" s="50">
        <f>(DN42/$DN$47)*100</f>
        <v>6.80331783969846</v>
      </c>
      <c r="DT42" s="62">
        <v>4</v>
      </c>
      <c r="DU42" s="107">
        <f t="shared" si="37"/>
        <v>1878127.406770055</v>
      </c>
      <c r="DV42" s="107">
        <f t="shared" si="38"/>
        <v>1639389.9909717748</v>
      </c>
      <c r="DW42" s="107">
        <f t="shared" si="38"/>
        <v>13196.431483688706</v>
      </c>
      <c r="DX42" s="107">
        <f t="shared" si="38"/>
        <v>13802.390072225433</v>
      </c>
      <c r="DY42" s="107">
        <f t="shared" si="38"/>
        <v>7406.160526559989</v>
      </c>
      <c r="DZ42" s="10">
        <f t="shared" si="38"/>
        <v>200794.8904830793</v>
      </c>
      <c r="EA42" s="79">
        <f t="shared" si="39"/>
        <v>405127.3241988853</v>
      </c>
      <c r="EB42" s="81"/>
      <c r="EC42" s="75"/>
      <c r="ED42" s="81"/>
      <c r="EE42" s="81"/>
      <c r="EF42" s="81"/>
      <c r="EG42" s="81"/>
      <c r="EH42" s="62">
        <v>5</v>
      </c>
      <c r="EI42" s="107">
        <v>0</v>
      </c>
      <c r="EJ42" s="107">
        <v>0</v>
      </c>
      <c r="EK42" s="107">
        <v>0</v>
      </c>
      <c r="EL42" s="107">
        <v>0</v>
      </c>
      <c r="EM42" s="107">
        <v>0</v>
      </c>
      <c r="EN42" s="107">
        <v>0</v>
      </c>
      <c r="EO42" s="107">
        <v>0</v>
      </c>
      <c r="EP42" s="107">
        <v>0</v>
      </c>
      <c r="EQ42" s="107">
        <v>0</v>
      </c>
      <c r="ER42" s="107">
        <v>0</v>
      </c>
      <c r="ES42" s="107">
        <v>0</v>
      </c>
      <c r="ET42" s="107">
        <v>0</v>
      </c>
      <c r="EU42" s="107">
        <v>0</v>
      </c>
      <c r="EV42" s="107">
        <v>0</v>
      </c>
      <c r="EW42" s="107">
        <v>0</v>
      </c>
      <c r="EX42" s="107">
        <v>0</v>
      </c>
      <c r="EY42" s="107">
        <v>0</v>
      </c>
      <c r="EZ42" s="107">
        <v>0</v>
      </c>
      <c r="FA42" s="107">
        <v>0</v>
      </c>
      <c r="FB42" s="107">
        <v>0</v>
      </c>
      <c r="FC42" s="107">
        <v>0</v>
      </c>
      <c r="FD42" s="107">
        <v>0</v>
      </c>
      <c r="FE42" s="107">
        <v>0</v>
      </c>
      <c r="FF42" s="79">
        <v>0</v>
      </c>
      <c r="FH42" s="62">
        <v>5</v>
      </c>
      <c r="FI42" s="107">
        <f t="shared" si="40"/>
        <v>228</v>
      </c>
      <c r="FJ42" s="107">
        <v>0</v>
      </c>
      <c r="FK42" s="107">
        <v>0</v>
      </c>
      <c r="FL42" s="107">
        <v>0</v>
      </c>
      <c r="FM42" s="107">
        <v>0</v>
      </c>
      <c r="FN42" s="107">
        <v>0</v>
      </c>
      <c r="FO42" s="107">
        <v>0</v>
      </c>
      <c r="FP42" s="107">
        <f t="shared" si="32"/>
        <v>1080</v>
      </c>
      <c r="FQ42" s="107">
        <f t="shared" si="33"/>
        <v>0</v>
      </c>
      <c r="FR42" s="107">
        <v>0</v>
      </c>
      <c r="FS42" s="107">
        <v>0</v>
      </c>
      <c r="FT42" s="107">
        <f t="shared" si="43"/>
        <v>117</v>
      </c>
      <c r="FU42" s="107">
        <v>0</v>
      </c>
      <c r="FV42" s="107">
        <v>0</v>
      </c>
      <c r="FW42" s="107">
        <v>0</v>
      </c>
      <c r="FX42" s="107">
        <v>0</v>
      </c>
      <c r="FY42" s="107">
        <f t="shared" si="41"/>
        <v>540</v>
      </c>
      <c r="FZ42" s="107">
        <f t="shared" si="42"/>
        <v>0</v>
      </c>
      <c r="GA42" s="107">
        <f t="shared" si="46"/>
        <v>178</v>
      </c>
      <c r="GB42" s="107">
        <f>IF($H$120="yes",GA42*$FR$40,0)</f>
        <v>0</v>
      </c>
      <c r="GC42" s="107">
        <f>IF($H$120="no",GA42*$FS$40,0)</f>
        <v>43313.333333333336</v>
      </c>
      <c r="GD42" s="107">
        <v>0</v>
      </c>
      <c r="GE42" s="107">
        <v>0</v>
      </c>
      <c r="GF42" s="107">
        <f t="shared" si="44"/>
        <v>1080</v>
      </c>
      <c r="GG42" s="107">
        <f t="shared" si="45"/>
        <v>0</v>
      </c>
      <c r="GH42" s="107">
        <f aca="true" t="shared" si="49" ref="GH42:GH50">ROUND(GH41-($I$17+$I$20)*GH41,0)</f>
        <v>269</v>
      </c>
      <c r="GI42" s="107">
        <f>IF($H$120="yes",GH42*$FR$39,0)</f>
        <v>0</v>
      </c>
      <c r="GJ42" s="107">
        <f>IF($H$120="no",GH42*$FS$39,0)</f>
        <v>130913.33333333334</v>
      </c>
      <c r="GK42" s="107">
        <f>IF($H$120="yes",ROUND($I$17*GH42,0)*($FR$40),ROUND($I$17*GH42,0)*($FS$40))</f>
        <v>21656.666666666668</v>
      </c>
      <c r="GL42" s="107">
        <f>IF($H$120="yes",ROUND($I$20*GH42,0)*($FR$40),ROUND($I$20*GH42,0)*($FS$40))</f>
        <v>730</v>
      </c>
      <c r="GM42" s="107">
        <f t="shared" si="47"/>
        <v>1620</v>
      </c>
      <c r="GN42" s="107">
        <f t="shared" si="48"/>
        <v>0</v>
      </c>
      <c r="GO42" s="107">
        <f>ROUND($I$7*($I$17+$I$20),0)</f>
        <v>408</v>
      </c>
      <c r="GP42" s="107">
        <f>IF($H$120="yes",GO42*$FR$38,0)</f>
        <v>0</v>
      </c>
      <c r="GQ42" s="107">
        <f>IF($H$120="no",GO42*$FS$38,0)</f>
        <v>297840</v>
      </c>
      <c r="GR42" s="107">
        <f>IF($H$120="yes",ROUND($I$17*GO42,0)*($FR$39+$FR$40),ROUND($I$17*GO42,0)*($FS$39+$FS$40))</f>
        <v>98550</v>
      </c>
      <c r="GS42" s="107">
        <f>IF($H$120="yes",ROUND($I$20*GO42,0)*($FR$39+$FR$40),ROUND($I$20*GO42,0)*($FS$39+$FS$40))</f>
        <v>2920</v>
      </c>
      <c r="GT42" s="107">
        <f aca="true" t="shared" si="50" ref="GT42:GT51">IF($H$117="no",ROUND($I$20*GO42,0)*($I$18*$I$19),0)</f>
        <v>2160</v>
      </c>
      <c r="GU42" s="107">
        <f aca="true" t="shared" si="51" ref="GU42:GU51">IF($H$117="yes",ROUND(GO42*$I$17,0)*$I$18*$I$19,0)</f>
        <v>0</v>
      </c>
      <c r="GV42" s="107">
        <v>0</v>
      </c>
      <c r="GW42" s="107">
        <v>0</v>
      </c>
      <c r="GX42" s="107">
        <v>0</v>
      </c>
      <c r="GY42" s="107">
        <v>0</v>
      </c>
      <c r="GZ42" s="107">
        <v>0</v>
      </c>
      <c r="HA42" s="107">
        <v>0</v>
      </c>
      <c r="HB42" s="107">
        <v>0</v>
      </c>
      <c r="HC42" s="107">
        <v>0</v>
      </c>
      <c r="HD42" s="107">
        <v>0</v>
      </c>
      <c r="HE42" s="107">
        <v>0</v>
      </c>
      <c r="HF42" s="107">
        <v>0</v>
      </c>
      <c r="HG42" s="107">
        <v>0</v>
      </c>
      <c r="HH42" s="107">
        <v>0</v>
      </c>
      <c r="HI42" s="107">
        <v>0</v>
      </c>
      <c r="HJ42" s="107">
        <v>0</v>
      </c>
      <c r="HK42" s="107">
        <v>0</v>
      </c>
      <c r="HL42" s="107">
        <v>0</v>
      </c>
      <c r="HM42" s="107">
        <v>0</v>
      </c>
      <c r="HN42" s="107">
        <v>0</v>
      </c>
      <c r="HO42" s="107">
        <v>0</v>
      </c>
      <c r="HP42" s="107">
        <v>0</v>
      </c>
      <c r="HQ42" s="107">
        <v>0</v>
      </c>
      <c r="HR42" s="107">
        <v>0</v>
      </c>
      <c r="HS42" s="107">
        <v>0</v>
      </c>
      <c r="HT42" s="107">
        <v>0</v>
      </c>
      <c r="HU42" s="107">
        <v>0</v>
      </c>
      <c r="HV42" s="107">
        <v>0</v>
      </c>
      <c r="HW42" s="107">
        <v>0</v>
      </c>
      <c r="HX42" s="107">
        <v>0</v>
      </c>
      <c r="HY42" s="107">
        <v>0</v>
      </c>
      <c r="HZ42" s="107">
        <v>0</v>
      </c>
      <c r="IA42" s="107">
        <v>0</v>
      </c>
      <c r="IB42" s="107">
        <v>0</v>
      </c>
      <c r="IC42" s="107">
        <v>0</v>
      </c>
      <c r="ID42" s="107">
        <v>0</v>
      </c>
      <c r="IE42" s="107">
        <v>0</v>
      </c>
      <c r="IF42" s="107">
        <v>0</v>
      </c>
      <c r="IG42" s="107">
        <v>0</v>
      </c>
      <c r="IH42" s="107">
        <v>0</v>
      </c>
      <c r="II42" s="107">
        <v>0</v>
      </c>
      <c r="IJ42" s="107">
        <v>0</v>
      </c>
      <c r="IK42" s="107">
        <v>0</v>
      </c>
      <c r="IL42" s="107">
        <f t="shared" si="34"/>
        <v>472066.6666666667</v>
      </c>
      <c r="IM42" s="107">
        <f t="shared" si="35"/>
        <v>123856.66666666667</v>
      </c>
      <c r="IN42" s="107">
        <f t="shared" si="36"/>
        <v>6480</v>
      </c>
      <c r="IO42" s="27">
        <f t="shared" si="36"/>
        <v>0</v>
      </c>
    </row>
    <row r="43" spans="1:249" ht="17.25" thickBot="1" thickTop="1">
      <c r="A43" s="479">
        <v>40</v>
      </c>
      <c r="B43" s="416" t="s">
        <v>253</v>
      </c>
      <c r="C43" s="411" t="s">
        <v>180</v>
      </c>
      <c r="D43" s="484">
        <v>550</v>
      </c>
      <c r="E43" s="367">
        <f>D43*A43</f>
        <v>22000</v>
      </c>
      <c r="G43" s="53" t="s">
        <v>254</v>
      </c>
      <c r="H43" s="440"/>
      <c r="I43" s="129"/>
      <c r="J43" s="203"/>
      <c r="K43" s="270" t="s">
        <v>255</v>
      </c>
      <c r="L43" s="273"/>
      <c r="M43" s="273"/>
      <c r="N43" s="273"/>
      <c r="O43" s="273"/>
      <c r="P43" s="273"/>
      <c r="Q43" s="81"/>
      <c r="R43" s="81"/>
      <c r="S43" s="42" t="s">
        <v>256</v>
      </c>
      <c r="T43" s="386"/>
      <c r="U43" s="460"/>
      <c r="V43" s="464"/>
      <c r="W43" s="34"/>
      <c r="X43" s="34"/>
      <c r="Y43" s="386"/>
      <c r="Z43" s="460"/>
      <c r="AA43" s="464"/>
      <c r="AB43" s="34"/>
      <c r="AC43" s="34"/>
      <c r="AD43" s="386"/>
      <c r="AE43" s="460"/>
      <c r="AF43" s="464"/>
      <c r="AG43" s="34"/>
      <c r="AH43" s="34"/>
      <c r="AI43" s="386"/>
      <c r="AJ43" s="460"/>
      <c r="AK43" s="464"/>
      <c r="AL43" s="34"/>
      <c r="AM43" s="34"/>
      <c r="AN43" s="386"/>
      <c r="AO43" s="460"/>
      <c r="AP43" s="464"/>
      <c r="AQ43" s="34"/>
      <c r="AR43" s="34"/>
      <c r="AS43" s="42" t="s">
        <v>256</v>
      </c>
      <c r="AT43" s="460"/>
      <c r="AU43" s="460"/>
      <c r="AV43" s="464"/>
      <c r="AW43" s="34"/>
      <c r="AX43" s="34"/>
      <c r="AY43" s="460"/>
      <c r="AZ43" s="460"/>
      <c r="BA43" s="464"/>
      <c r="BB43" s="34"/>
      <c r="BC43" s="34"/>
      <c r="BD43" s="460"/>
      <c r="BE43" s="460"/>
      <c r="BF43" s="464"/>
      <c r="BG43" s="34"/>
      <c r="BH43" s="34"/>
      <c r="BI43" s="460"/>
      <c r="BJ43" s="460"/>
      <c r="BK43" s="464"/>
      <c r="BL43" s="34"/>
      <c r="BM43" s="34"/>
      <c r="BN43" s="460"/>
      <c r="BO43" s="460"/>
      <c r="BP43" s="464"/>
      <c r="BQ43" s="34"/>
      <c r="BR43" s="34"/>
      <c r="BS43" s="42" t="s">
        <v>256</v>
      </c>
      <c r="BT43" s="460"/>
      <c r="BU43" s="460"/>
      <c r="BV43" s="464"/>
      <c r="BW43" s="34"/>
      <c r="BX43" s="34"/>
      <c r="BY43" s="460"/>
      <c r="BZ43" s="460"/>
      <c r="CA43" s="464"/>
      <c r="CB43" s="34"/>
      <c r="CC43" s="34"/>
      <c r="CD43" s="460"/>
      <c r="CE43" s="460"/>
      <c r="CF43" s="464"/>
      <c r="CG43" s="34"/>
      <c r="CH43" s="34"/>
      <c r="CI43" s="460"/>
      <c r="CJ43" s="460"/>
      <c r="CK43" s="464"/>
      <c r="CL43" s="34"/>
      <c r="CM43" s="34"/>
      <c r="CN43" s="460"/>
      <c r="CO43" s="460"/>
      <c r="CP43" s="464"/>
      <c r="CQ43" s="34"/>
      <c r="CR43" s="34"/>
      <c r="CS43" s="42" t="s">
        <v>256</v>
      </c>
      <c r="CT43" s="460"/>
      <c r="CU43" s="460"/>
      <c r="CV43" s="464"/>
      <c r="CW43" s="34"/>
      <c r="CX43" s="34"/>
      <c r="CY43" s="460"/>
      <c r="CZ43" s="460"/>
      <c r="DA43" s="464"/>
      <c r="DB43" s="34"/>
      <c r="DC43" s="34"/>
      <c r="DD43" s="460"/>
      <c r="DE43" s="460"/>
      <c r="DF43" s="464"/>
      <c r="DG43" s="34"/>
      <c r="DH43" s="34"/>
      <c r="DI43" s="460"/>
      <c r="DJ43" s="460"/>
      <c r="DK43" s="464"/>
      <c r="DL43" s="34"/>
      <c r="DM43" s="34"/>
      <c r="DN43" s="461"/>
      <c r="DO43" s="460"/>
      <c r="DP43" s="464"/>
      <c r="DQ43" s="34"/>
      <c r="DR43" s="78"/>
      <c r="DT43" s="62">
        <v>5</v>
      </c>
      <c r="DU43" s="107">
        <f t="shared" si="37"/>
        <v>1739020.2327857537</v>
      </c>
      <c r="DV43" s="107">
        <f t="shared" si="38"/>
        <v>1508055.444568904</v>
      </c>
      <c r="DW43" s="107">
        <f t="shared" si="38"/>
        <v>12106.817874943767</v>
      </c>
      <c r="DX43" s="107">
        <f t="shared" si="38"/>
        <v>12662.74318552792</v>
      </c>
      <c r="DY43" s="107">
        <f t="shared" si="38"/>
        <v>6794.64268491742</v>
      </c>
      <c r="DZ43" s="10">
        <f t="shared" si="38"/>
        <v>178338.05477788034</v>
      </c>
      <c r="EA43" s="79">
        <f t="shared" si="39"/>
        <v>377738.6392493411</v>
      </c>
      <c r="EB43" s="81"/>
      <c r="EC43" s="75"/>
      <c r="ED43" s="81"/>
      <c r="EE43" s="81"/>
      <c r="EF43" s="81"/>
      <c r="EG43" s="81"/>
      <c r="EH43" s="62">
        <v>6</v>
      </c>
      <c r="EI43" s="107">
        <v>0</v>
      </c>
      <c r="EJ43" s="107">
        <v>0</v>
      </c>
      <c r="EK43" s="107">
        <v>0</v>
      </c>
      <c r="EL43" s="107">
        <f>IF($H$97&lt;$EH38,0,-PPMT($I$97,$EH38,$H$97,($EK$14*$I$83),0,0))</f>
        <v>8145.757276641309</v>
      </c>
      <c r="EM43" s="107">
        <f>IF($H$97&lt;$EH38,0,-IPMT($I$97,$EH38,$H$97,($EK$14*$I$83),0,0))</f>
        <v>4387.5</v>
      </c>
      <c r="EN43" s="107">
        <f aca="true" t="shared" si="52" ref="EN43:EN57">EM43+EL43</f>
        <v>12533.257276641309</v>
      </c>
      <c r="EO43" s="107">
        <v>0</v>
      </c>
      <c r="EP43" s="107">
        <v>0</v>
      </c>
      <c r="EQ43" s="107">
        <v>0</v>
      </c>
      <c r="ER43" s="107">
        <v>0</v>
      </c>
      <c r="ES43" s="107">
        <v>0</v>
      </c>
      <c r="ET43" s="107">
        <v>0</v>
      </c>
      <c r="EU43" s="107">
        <v>0</v>
      </c>
      <c r="EV43" s="107">
        <v>0</v>
      </c>
      <c r="EW43" s="107">
        <v>0</v>
      </c>
      <c r="EX43" s="107">
        <v>0</v>
      </c>
      <c r="EY43" s="107">
        <v>0</v>
      </c>
      <c r="EZ43" s="107">
        <v>0</v>
      </c>
      <c r="FA43" s="107">
        <v>0</v>
      </c>
      <c r="FB43" s="107">
        <v>0</v>
      </c>
      <c r="FC43" s="107">
        <v>0</v>
      </c>
      <c r="FD43" s="107">
        <f>IF($H$103&lt;$EH38,0,-PPMT($I$103,$EH38,$H$103,($EW$14*$I$89),0,0))</f>
        <v>29287.130393093445</v>
      </c>
      <c r="FE43" s="107">
        <f>IF($H$103&lt;$EH38,0,-IPMT($I$103,$EH38,$H$103,($EW$14*$I$89),0,0))</f>
        <v>15774.75</v>
      </c>
      <c r="FF43" s="79">
        <f aca="true" t="shared" si="53" ref="FF43:FF57">FE43+FD43</f>
        <v>45061.880393093445</v>
      </c>
      <c r="FH43" s="62">
        <v>6</v>
      </c>
      <c r="FI43" s="107">
        <f t="shared" si="40"/>
        <v>150</v>
      </c>
      <c r="FJ43" s="107">
        <v>0</v>
      </c>
      <c r="FK43" s="107">
        <v>0</v>
      </c>
      <c r="FL43" s="107">
        <v>0</v>
      </c>
      <c r="FM43" s="107">
        <v>0</v>
      </c>
      <c r="FN43" s="107">
        <v>0</v>
      </c>
      <c r="FO43" s="107">
        <v>0</v>
      </c>
      <c r="FP43" s="107">
        <f t="shared" si="32"/>
        <v>1080</v>
      </c>
      <c r="FQ43" s="107">
        <f t="shared" si="33"/>
        <v>0</v>
      </c>
      <c r="FR43" s="107">
        <v>0</v>
      </c>
      <c r="FS43" s="107">
        <v>0</v>
      </c>
      <c r="FT43" s="107">
        <f t="shared" si="43"/>
        <v>77</v>
      </c>
      <c r="FU43" s="107">
        <v>0</v>
      </c>
      <c r="FV43" s="107">
        <v>0</v>
      </c>
      <c r="FW43" s="107">
        <v>0</v>
      </c>
      <c r="FX43" s="107">
        <v>0</v>
      </c>
      <c r="FY43" s="107">
        <f t="shared" si="41"/>
        <v>540</v>
      </c>
      <c r="FZ43" s="107">
        <f t="shared" si="42"/>
        <v>0</v>
      </c>
      <c r="GA43" s="107">
        <f t="shared" si="46"/>
        <v>117</v>
      </c>
      <c r="GB43" s="107">
        <v>0</v>
      </c>
      <c r="GC43" s="107">
        <v>0</v>
      </c>
      <c r="GD43" s="107">
        <v>0</v>
      </c>
      <c r="GE43" s="107">
        <v>0</v>
      </c>
      <c r="GF43" s="107">
        <f t="shared" si="44"/>
        <v>540</v>
      </c>
      <c r="GG43" s="107">
        <f t="shared" si="45"/>
        <v>0</v>
      </c>
      <c r="GH43" s="107">
        <f t="shared" si="49"/>
        <v>178</v>
      </c>
      <c r="GI43" s="107">
        <f>IF($H$120="yes",GH43*$FR$40,0)</f>
        <v>0</v>
      </c>
      <c r="GJ43" s="107">
        <f>IF($H$120="no",GH43*$FS$40,0)</f>
        <v>43313.333333333336</v>
      </c>
      <c r="GK43" s="107">
        <v>0</v>
      </c>
      <c r="GL43" s="107">
        <v>0</v>
      </c>
      <c r="GM43" s="107">
        <f t="shared" si="47"/>
        <v>1080</v>
      </c>
      <c r="GN43" s="107">
        <f t="shared" si="48"/>
        <v>0</v>
      </c>
      <c r="GO43" s="107">
        <f aca="true" t="shared" si="54" ref="GO43:GO51">ROUND(GO42-($I$17+$I$20)*GO42,0)</f>
        <v>269</v>
      </c>
      <c r="GP43" s="107">
        <f>IF($H$120="yes",GO43*$FR$39,0)</f>
        <v>0</v>
      </c>
      <c r="GQ43" s="107">
        <f>IF($H$120="no",GO43*$FS$39,0)</f>
        <v>130913.33333333334</v>
      </c>
      <c r="GR43" s="107">
        <f>IF($H$120="yes",ROUND($I$17*GO43,0)*($FR$40),ROUND($I$17*GO43,0)*($FS$40))</f>
        <v>21656.666666666668</v>
      </c>
      <c r="GS43" s="107">
        <f>IF($H$120="yes",ROUND($I$20*GO43,0)*($FR$40),ROUND($I$20*GO43,0)*($FS$40))</f>
        <v>730</v>
      </c>
      <c r="GT43" s="107">
        <f t="shared" si="50"/>
        <v>1620</v>
      </c>
      <c r="GU43" s="107">
        <f t="shared" si="51"/>
        <v>0</v>
      </c>
      <c r="GV43" s="107">
        <f>ROUND($I$7*($I$17+$I$20),0)</f>
        <v>408</v>
      </c>
      <c r="GW43" s="107">
        <f>IF($H$120="yes",GV43*$FR$38,0)</f>
        <v>0</v>
      </c>
      <c r="GX43" s="107">
        <f>IF($H$120="no",GV43*$FS$38,0)</f>
        <v>297840</v>
      </c>
      <c r="GY43" s="107">
        <f>IF($H$120="yes",ROUND($I$17*GV43,0)*($FR$39+$FR$40),ROUND($I$17*GV43,0)*($FS$39+$FS$40))</f>
        <v>98550</v>
      </c>
      <c r="GZ43" s="107">
        <f>IF($H$120="yes",ROUND($I$20*GV43,0)*($FR$39+$FR$40),ROUND($I$20*GV43,0)*($FS$39+$FS$40))</f>
        <v>2920</v>
      </c>
      <c r="HA43" s="107">
        <f aca="true" t="shared" si="55" ref="HA43:HA52">IF($H$117="no",ROUND($I$20*GV43,0)*($I$18*$I$19),0)</f>
        <v>2160</v>
      </c>
      <c r="HB43" s="107">
        <f aca="true" t="shared" si="56" ref="HB43:HB52">IF($H$117="yes",ROUND(GV43*$I$17,0)*$I$18*$I$19,0)</f>
        <v>0</v>
      </c>
      <c r="HC43" s="107">
        <v>0</v>
      </c>
      <c r="HD43" s="107">
        <v>0</v>
      </c>
      <c r="HE43" s="107">
        <v>0</v>
      </c>
      <c r="HF43" s="107">
        <v>0</v>
      </c>
      <c r="HG43" s="107">
        <v>0</v>
      </c>
      <c r="HH43" s="107">
        <v>0</v>
      </c>
      <c r="HI43" s="107">
        <v>0</v>
      </c>
      <c r="HJ43" s="107">
        <v>0</v>
      </c>
      <c r="HK43" s="107">
        <v>0</v>
      </c>
      <c r="HL43" s="107">
        <v>0</v>
      </c>
      <c r="HM43" s="107">
        <v>0</v>
      </c>
      <c r="HN43" s="107">
        <v>0</v>
      </c>
      <c r="HO43" s="107">
        <v>0</v>
      </c>
      <c r="HP43" s="107">
        <v>0</v>
      </c>
      <c r="HQ43" s="107">
        <v>0</v>
      </c>
      <c r="HR43" s="107">
        <v>0</v>
      </c>
      <c r="HS43" s="107">
        <v>0</v>
      </c>
      <c r="HT43" s="107">
        <v>0</v>
      </c>
      <c r="HU43" s="107">
        <v>0</v>
      </c>
      <c r="HV43" s="107">
        <v>0</v>
      </c>
      <c r="HW43" s="107">
        <v>0</v>
      </c>
      <c r="HX43" s="107">
        <v>0</v>
      </c>
      <c r="HY43" s="107">
        <v>0</v>
      </c>
      <c r="HZ43" s="107">
        <v>0</v>
      </c>
      <c r="IA43" s="107">
        <v>0</v>
      </c>
      <c r="IB43" s="107">
        <v>0</v>
      </c>
      <c r="IC43" s="107">
        <v>0</v>
      </c>
      <c r="ID43" s="107">
        <v>0</v>
      </c>
      <c r="IE43" s="107">
        <v>0</v>
      </c>
      <c r="IF43" s="107">
        <v>0</v>
      </c>
      <c r="IG43" s="107">
        <v>0</v>
      </c>
      <c r="IH43" s="107">
        <v>0</v>
      </c>
      <c r="II43" s="107">
        <v>0</v>
      </c>
      <c r="IJ43" s="107">
        <v>0</v>
      </c>
      <c r="IK43" s="107">
        <v>0</v>
      </c>
      <c r="IL43" s="107">
        <f t="shared" si="34"/>
        <v>472066.6666666667</v>
      </c>
      <c r="IM43" s="107">
        <f t="shared" si="35"/>
        <v>123856.66666666667</v>
      </c>
      <c r="IN43" s="107">
        <f t="shared" si="36"/>
        <v>7020</v>
      </c>
      <c r="IO43" s="27">
        <f t="shared" si="36"/>
        <v>0</v>
      </c>
    </row>
    <row r="44" spans="1:249" ht="16.5" thickTop="1">
      <c r="A44" s="480">
        <v>40</v>
      </c>
      <c r="B44" s="412" t="s">
        <v>257</v>
      </c>
      <c r="C44" s="413" t="s">
        <v>180</v>
      </c>
      <c r="D44" s="485">
        <v>1200</v>
      </c>
      <c r="E44" s="458">
        <f>D44*A44</f>
        <v>48000</v>
      </c>
      <c r="G44" s="42" t="s">
        <v>258</v>
      </c>
      <c r="H44" s="440"/>
      <c r="I44" s="129"/>
      <c r="J44" s="203"/>
      <c r="K44" s="270" t="s">
        <v>574</v>
      </c>
      <c r="L44" s="273"/>
      <c r="M44" s="273"/>
      <c r="N44" s="273"/>
      <c r="O44" s="273"/>
      <c r="P44" s="273"/>
      <c r="Q44" s="81"/>
      <c r="R44" s="81"/>
      <c r="S44" s="29" t="s">
        <v>203</v>
      </c>
      <c r="T44" s="386">
        <f>$I$7*$I$74*12</f>
        <v>28224</v>
      </c>
      <c r="U44" s="460">
        <f aca="true" t="shared" si="57" ref="U44:U49">T44/$I$7</f>
        <v>23.52</v>
      </c>
      <c r="V44" s="464">
        <f aca="true" t="shared" si="58" ref="V44:V49">IF($I$14="no",T44/(($I$7*$I$10)/100),T44/$T$1)</f>
        <v>0.12186528497409327</v>
      </c>
      <c r="W44" s="47">
        <f aca="true" t="shared" si="59" ref="W44:W49">(T44/$T$13)*100</f>
        <v>0.722324059233951</v>
      </c>
      <c r="X44" s="47">
        <f>(T44/$T$47)*100</f>
        <v>2.8815721460233945</v>
      </c>
      <c r="Y44" s="386">
        <f>$I$7*$I$74*12</f>
        <v>28224</v>
      </c>
      <c r="Z44" s="460">
        <f>Y44/$I$7</f>
        <v>23.52</v>
      </c>
      <c r="AA44" s="464">
        <f>IF($I$14="no",Y44/(($I$7*$I$10)/100),Y44/$Y$1)</f>
        <v>0.12065869799415174</v>
      </c>
      <c r="AB44" s="47">
        <f>(Y44/$Y$13)*100</f>
        <v>0.7157062917262359</v>
      </c>
      <c r="AC44" s="47">
        <f>(Y44/$Y$47)*100</f>
        <v>2.8815721460233945</v>
      </c>
      <c r="AD44" s="386">
        <f>$I$7*$I$74*12</f>
        <v>28224</v>
      </c>
      <c r="AE44" s="460">
        <f>AD44/$I$7</f>
        <v>23.52</v>
      </c>
      <c r="AF44" s="464">
        <f>IF($I$14="no",AD44/(($I$7*$I$10)/100),AD44/$AD$1)</f>
        <v>0.11946405741995222</v>
      </c>
      <c r="AG44" s="47">
        <f>(AD44/$AD$13)*100</f>
        <v>0.7091443039402376</v>
      </c>
      <c r="AH44" s="47">
        <f>(AD44/$AD$47)*100</f>
        <v>2.8815721460233945</v>
      </c>
      <c r="AI44" s="386">
        <f>$I$7*$I$74*12</f>
        <v>28224</v>
      </c>
      <c r="AJ44" s="460">
        <f>AI44/$I$7</f>
        <v>23.52</v>
      </c>
      <c r="AK44" s="464">
        <f>IF($I$14="no",AI44/(($I$7*$I$10)/100),AI44/$AI$1)</f>
        <v>0.11828124497024972</v>
      </c>
      <c r="AL44" s="47">
        <f>(AI44/$AI$13)*100</f>
        <v>0.7026377143595129</v>
      </c>
      <c r="AM44" s="47">
        <f>(AI44/$AI$47)*100</f>
        <v>2.8815721460233945</v>
      </c>
      <c r="AN44" s="386">
        <f>$I$7*$I$74*12</f>
        <v>28224</v>
      </c>
      <c r="AO44" s="460">
        <f aca="true" t="shared" si="60" ref="AO44:AO49">AN44/$I$7</f>
        <v>23.52</v>
      </c>
      <c r="AP44" s="464">
        <f aca="true" t="shared" si="61" ref="AP44:AP49">IF($I$14="no",AN44/(($I$7*$I$10)/100),AN44/$AN$1)</f>
        <v>0.11711014353490071</v>
      </c>
      <c r="AQ44" s="47">
        <f aca="true" t="shared" si="62" ref="AQ44:AQ49">(AN44/$AN$13)*100</f>
        <v>0.6961861424435376</v>
      </c>
      <c r="AR44" s="47">
        <f>(AN44/$AN$47)*100</f>
        <v>2.8815721460233945</v>
      </c>
      <c r="AS44" s="29" t="s">
        <v>203</v>
      </c>
      <c r="AT44" s="386">
        <f>$I$7*$I$74*12</f>
        <v>28224</v>
      </c>
      <c r="AU44" s="460">
        <f>AT44/$I$7</f>
        <v>23.52</v>
      </c>
      <c r="AV44" s="464">
        <f>IF($I$14="no",AT44/(($I$7*$I$10)/100),AT44/$AT$1)</f>
        <v>0.11595063716326803</v>
      </c>
      <c r="AW44" s="47">
        <f>(AT44/$AT$13)*100</f>
        <v>0.6897892086588366</v>
      </c>
      <c r="AX44" s="47">
        <f>(AT44/$AT$47)*100</f>
        <v>5.987984096651023</v>
      </c>
      <c r="AY44" s="386">
        <f>$I$7*$I$74*12</f>
        <v>28224</v>
      </c>
      <c r="AZ44" s="460">
        <f>AY44/$I$7</f>
        <v>23.52</v>
      </c>
      <c r="BA44" s="464">
        <f>IF($I$14="no",AY44/(($I$7*$I$10)/100),AY44/$AY$1)</f>
        <v>0.11480261105274064</v>
      </c>
      <c r="BB44" s="47">
        <f>(AY44/$AY$13)*100</f>
        <v>0.6834465345093521</v>
      </c>
      <c r="BC44" s="47">
        <f>(AY44/$AY$47)*100</f>
        <v>5.987984096651023</v>
      </c>
      <c r="BD44" s="386">
        <f>$I$7*$I$74*12</f>
        <v>28224</v>
      </c>
      <c r="BE44" s="460">
        <f>BD44/$I$7</f>
        <v>23.52</v>
      </c>
      <c r="BF44" s="464">
        <f>IF($I$14="no",BD44/(($I$7*$I$10)/100),BD44/$BD$1)</f>
        <v>0.11366595153736696</v>
      </c>
      <c r="BG44" s="47">
        <f>(BD44/$BD$13)*100</f>
        <v>0.6771577425660562</v>
      </c>
      <c r="BH44" s="47">
        <f>(BD44/$BD$47)*100</f>
        <v>5.987984096651023</v>
      </c>
      <c r="BI44" s="386">
        <f>$I$7*$I$74*12</f>
        <v>28224</v>
      </c>
      <c r="BJ44" s="460">
        <f>BI44/$I$7</f>
        <v>23.52</v>
      </c>
      <c r="BK44" s="464">
        <f>IF($I$14="no",BI44/(($I$7*$I$10)/100),BI44/$BI$1)</f>
        <v>0.11254054607660094</v>
      </c>
      <c r="BL44" s="47">
        <f>(BI44/$BI$13)*100</f>
        <v>0.6709224564958205</v>
      </c>
      <c r="BM44" s="47">
        <f>(BI44/$BI$47)*100</f>
        <v>5.987984096651023</v>
      </c>
      <c r="BN44" s="386">
        <f>$I$7*$I$74*12</f>
        <v>28224</v>
      </c>
      <c r="BO44" s="460">
        <f aca="true" t="shared" si="63" ref="BO44:BO49">BN44/$I$7</f>
        <v>23.52</v>
      </c>
      <c r="BP44" s="464">
        <f aca="true" t="shared" si="64" ref="BP44:BP49">IF($I$14="no",BN44/(($I$7*$I$10)/100),BN44/$BN$1)</f>
        <v>0.11142628324415936</v>
      </c>
      <c r="BQ44" s="47">
        <f aca="true" t="shared" si="65" ref="BQ44:BQ49">(BN44/$BN$13)*100</f>
        <v>0.6647403010895466</v>
      </c>
      <c r="BR44" s="47">
        <f>(BN44/$BN$47)*100</f>
        <v>5.987984096651023</v>
      </c>
      <c r="BS44" s="29" t="s">
        <v>203</v>
      </c>
      <c r="BT44" s="386">
        <f>$I$7*$I$74*12</f>
        <v>28224</v>
      </c>
      <c r="BU44" s="460">
        <f>BT44/$I$7</f>
        <v>23.52</v>
      </c>
      <c r="BV44" s="464">
        <f>IF($I$14="no",BT44/(($I$7*$I$10)/100),BT44/$BT$1)</f>
        <v>0.11032305271698947</v>
      </c>
      <c r="BW44" s="47">
        <f>(BT44/$BT$13)*100</f>
        <v>0.6586109022895704</v>
      </c>
      <c r="BX44" s="47">
        <f>(BT44/$BT$47)*100</f>
        <v>5.459936334442046</v>
      </c>
      <c r="BY44" s="386">
        <f>$I$7*$I$74*12</f>
        <v>28224</v>
      </c>
      <c r="BZ44" s="460">
        <f>BY44/$I$7</f>
        <v>23.52</v>
      </c>
      <c r="CA44" s="464">
        <f>IF($I$14="no",BY44/(($I$7*$I$10)/100),BY44/$BY$1)</f>
        <v>0.10923074526434602</v>
      </c>
      <c r="CB44" s="47">
        <f>(BY44/$BY$13)*100</f>
        <v>0.652533887216347</v>
      </c>
      <c r="CC44" s="47">
        <f>(BY44/$BY$47)*100</f>
        <v>5.459936334442047</v>
      </c>
      <c r="CD44" s="386">
        <f>$I$7*$I$74*12</f>
        <v>28224</v>
      </c>
      <c r="CE44" s="460">
        <f>CD44/$I$7</f>
        <v>23.52</v>
      </c>
      <c r="CF44" s="464">
        <f>IF($I$14="no",CD44/(($I$7*$I$10)/100),CD44/$CD$1)</f>
        <v>0.10814925273697626</v>
      </c>
      <c r="CG44" s="47">
        <f>(CD44/$CD$13)*100</f>
        <v>0.6465088841944262</v>
      </c>
      <c r="CH44" s="47">
        <f>(CD44/$CD$47)*100</f>
        <v>5.459936334442046</v>
      </c>
      <c r="CI44" s="386">
        <f>$I$7*$I$74*12</f>
        <v>28224</v>
      </c>
      <c r="CJ44" s="460">
        <f>CI44/$I$7</f>
        <v>23.52</v>
      </c>
      <c r="CK44" s="464">
        <f>IF($I$14="no",CI44/(($I$7*$I$10)/100),CI44/$CI$1)</f>
        <v>0.10707846805641213</v>
      </c>
      <c r="CL44" s="47">
        <f>(CI44/$CI$13)*100</f>
        <v>0.6405355227777265</v>
      </c>
      <c r="CM44" s="47">
        <f>(CI44/$CI$47)*100</f>
        <v>5.459936334442046</v>
      </c>
      <c r="CN44" s="386">
        <f>$I$7*$I$74*12</f>
        <v>28224</v>
      </c>
      <c r="CO44" s="460">
        <f aca="true" t="shared" si="66" ref="CO44:CO49">CN44/$I$7</f>
        <v>23.52</v>
      </c>
      <c r="CP44" s="464">
        <f aca="true" t="shared" si="67" ref="CP44:CP49">IF($I$14="no",CN44/(($I$7*$I$10)/100),CN44/$CN$1)</f>
        <v>0.10601828520436843</v>
      </c>
      <c r="CQ44" s="47">
        <f aca="true" t="shared" si="68" ref="CQ44:CQ49">(CN44/$CN$13)*100</f>
        <v>0.6346134337741166</v>
      </c>
      <c r="CR44" s="47">
        <f>(CN44/$CN$47)*100</f>
        <v>5.459936334442046</v>
      </c>
      <c r="CS44" s="29" t="s">
        <v>203</v>
      </c>
      <c r="CT44" s="386">
        <f>$I$7*$I$74*12</f>
        <v>28224</v>
      </c>
      <c r="CU44" s="460">
        <f>CT44/$I$7</f>
        <v>23.52</v>
      </c>
      <c r="CV44" s="464">
        <f>IF($I$14="no",CT44/(($I$7*$I$10)/100),CT44/$CT$1)</f>
        <v>0.10496859921224598</v>
      </c>
      <c r="CW44" s="47">
        <f>(CT44/$CT$13)*100</f>
        <v>0.6287422492693149</v>
      </c>
      <c r="CX44" s="47">
        <f>(CT44/$CT$47)*100</f>
        <v>5.459936334442046</v>
      </c>
      <c r="CY44" s="386">
        <f>$I$7*$I$74*12</f>
        <v>28224</v>
      </c>
      <c r="CZ44" s="460">
        <f>CY44/$I$7</f>
        <v>23.52</v>
      </c>
      <c r="DA44" s="464">
        <f>IF($I$14="no",CY44/(($I$7*$I$10)/100),CY44/$CY$1)</f>
        <v>0.10392930615073859</v>
      </c>
      <c r="DB44" s="47">
        <f>(CY44/$CY$13)*100</f>
        <v>0.6229216026501126</v>
      </c>
      <c r="DC44" s="47">
        <f>(CY44/$CY$47)*100</f>
        <v>5.459936334442046</v>
      </c>
      <c r="DD44" s="386">
        <f>$I$7*$I$74*12</f>
        <v>28224</v>
      </c>
      <c r="DE44" s="460">
        <f>DD44/$I$7</f>
        <v>23.52</v>
      </c>
      <c r="DF44" s="464">
        <f>IF($I$14="no",DD44/(($I$7*$I$10)/100),DD44/$DD$1)</f>
        <v>0.10290030311954315</v>
      </c>
      <c r="DG44" s="47">
        <f>(DD44/$DD$13)*100</f>
        <v>0.6171511286269349</v>
      </c>
      <c r="DH44" s="47">
        <f>(DD44/$DD$47)*100</f>
        <v>5.459936334442045</v>
      </c>
      <c r="DI44" s="386">
        <f>$I$7*$I$74*12</f>
        <v>28224</v>
      </c>
      <c r="DJ44" s="460">
        <f>DI44/$I$7</f>
        <v>23.52</v>
      </c>
      <c r="DK44" s="464">
        <f>IF($I$14="no",DI44/(($I$7*$I$10)/100),DI44/$DI$1)</f>
        <v>0.10188148823717143</v>
      </c>
      <c r="DL44" s="47">
        <f>(DI44/$DI$13)*100</f>
        <v>0.6114304632557416</v>
      </c>
      <c r="DM44" s="47">
        <f>(DI44/$DI$47)*100</f>
        <v>5.459936334442046</v>
      </c>
      <c r="DN44" s="457">
        <f>$I$7*$I$74*12</f>
        <v>28224</v>
      </c>
      <c r="DO44" s="460">
        <f aca="true" t="shared" si="69" ref="DO44:DO49">DN44/$I$7</f>
        <v>23.52</v>
      </c>
      <c r="DP44" s="464">
        <f aca="true" t="shared" si="70" ref="DP44:DP49">IF($I$14="no",DN44/(($I$7*$I$10)/100),DN44/$DN$1)</f>
        <v>0.1008727606308628</v>
      </c>
      <c r="DQ44" s="47">
        <f aca="true" t="shared" si="71" ref="DQ44:DQ49">(DN44/$DN$13)*100</f>
        <v>0.6057592439592833</v>
      </c>
      <c r="DR44" s="50">
        <f>(DN44/$DN$47)*100</f>
        <v>5.459936334442047</v>
      </c>
      <c r="DT44" s="62">
        <v>6</v>
      </c>
      <c r="DU44" s="107">
        <f t="shared" si="37"/>
        <v>1610227.0407983772</v>
      </c>
      <c r="DV44" s="107">
        <f t="shared" si="38"/>
        <v>1387277.8433628525</v>
      </c>
      <c r="DW44" s="107">
        <f t="shared" si="38"/>
        <v>11107.17236233373</v>
      </c>
      <c r="DX44" s="107">
        <f t="shared" si="38"/>
        <v>11617.195583053135</v>
      </c>
      <c r="DY44" s="107">
        <f t="shared" si="38"/>
        <v>6233.617142126073</v>
      </c>
      <c r="DZ44" s="10">
        <f t="shared" si="38"/>
        <v>179391.42664791984</v>
      </c>
      <c r="EA44" s="79">
        <f t="shared" si="39"/>
        <v>373382.6389959318</v>
      </c>
      <c r="EB44" s="81"/>
      <c r="EC44" s="75"/>
      <c r="ED44" s="81"/>
      <c r="EE44" s="81"/>
      <c r="EF44" s="81"/>
      <c r="EG44" s="81"/>
      <c r="EH44" s="62">
        <v>7</v>
      </c>
      <c r="EI44" s="107">
        <v>0</v>
      </c>
      <c r="EJ44" s="107">
        <v>0</v>
      </c>
      <c r="EK44" s="107">
        <v>0</v>
      </c>
      <c r="EL44" s="107">
        <f>IF($H$97&lt;$EH39,0,-PPMT($I$97,$EH39,$H$97,($EK$14*$I$83),0,0))</f>
        <v>8878.875431539027</v>
      </c>
      <c r="EM44" s="107">
        <f>IF($H$97&lt;$EH39,0,-IPMT($I$97,$EH39,$H$97,($EK$14*$I$83),0,0))</f>
        <v>3654.3818451022817</v>
      </c>
      <c r="EN44" s="107">
        <f t="shared" si="52"/>
        <v>12533.257276641309</v>
      </c>
      <c r="EO44" s="107">
        <v>0</v>
      </c>
      <c r="EP44" s="107">
        <v>0</v>
      </c>
      <c r="EQ44" s="107">
        <v>0</v>
      </c>
      <c r="ER44" s="107">
        <v>0</v>
      </c>
      <c r="ES44" s="107">
        <v>0</v>
      </c>
      <c r="ET44" s="107">
        <v>0</v>
      </c>
      <c r="EU44" s="107">
        <v>0</v>
      </c>
      <c r="EV44" s="107">
        <v>0</v>
      </c>
      <c r="EW44" s="107">
        <v>0</v>
      </c>
      <c r="EX44" s="107">
        <v>0</v>
      </c>
      <c r="EY44" s="107">
        <v>0</v>
      </c>
      <c r="EZ44" s="107">
        <v>0</v>
      </c>
      <c r="FA44" s="107">
        <v>0</v>
      </c>
      <c r="FB44" s="107">
        <v>0</v>
      </c>
      <c r="FC44" s="107">
        <v>0</v>
      </c>
      <c r="FD44" s="107">
        <f>IF($H$103&lt;$EH39,0,-PPMT($I$103,$EH39,$H$103,($EW$14*$I$89),0,0))</f>
        <v>31922.972128471858</v>
      </c>
      <c r="FE44" s="107">
        <f>IF($H$103&lt;$EH39,0,-IPMT($I$103,$EH39,$H$103,($EW$14*$I$89),0,0))</f>
        <v>13138.908264621587</v>
      </c>
      <c r="FF44" s="79">
        <f t="shared" si="53"/>
        <v>45061.880393093445</v>
      </c>
      <c r="FH44" s="62">
        <v>7</v>
      </c>
      <c r="FI44" s="107">
        <f t="shared" si="40"/>
        <v>99</v>
      </c>
      <c r="FJ44" s="107">
        <v>0</v>
      </c>
      <c r="FK44" s="107">
        <v>0</v>
      </c>
      <c r="FL44" s="107">
        <v>0</v>
      </c>
      <c r="FM44" s="107">
        <v>0</v>
      </c>
      <c r="FN44" s="107">
        <v>0</v>
      </c>
      <c r="FO44" s="107">
        <v>0</v>
      </c>
      <c r="FP44" s="107">
        <f t="shared" si="32"/>
        <v>540</v>
      </c>
      <c r="FQ44" s="107">
        <f t="shared" si="33"/>
        <v>0</v>
      </c>
      <c r="FR44" s="107">
        <v>0</v>
      </c>
      <c r="FS44" s="107">
        <v>0</v>
      </c>
      <c r="FT44" s="107">
        <f t="shared" si="43"/>
        <v>51</v>
      </c>
      <c r="FU44" s="107">
        <v>0</v>
      </c>
      <c r="FV44" s="107">
        <v>0</v>
      </c>
      <c r="FW44" s="107">
        <v>0</v>
      </c>
      <c r="FX44" s="107">
        <v>0</v>
      </c>
      <c r="FY44" s="107">
        <f t="shared" si="41"/>
        <v>540</v>
      </c>
      <c r="FZ44" s="107">
        <f t="shared" si="42"/>
        <v>0</v>
      </c>
      <c r="GA44" s="107">
        <f t="shared" si="46"/>
        <v>77</v>
      </c>
      <c r="GB44" s="107">
        <v>0</v>
      </c>
      <c r="GC44" s="107">
        <v>0</v>
      </c>
      <c r="GD44" s="107">
        <v>0</v>
      </c>
      <c r="GE44" s="107">
        <v>0</v>
      </c>
      <c r="GF44" s="107">
        <f t="shared" si="44"/>
        <v>540</v>
      </c>
      <c r="GG44" s="107">
        <f t="shared" si="45"/>
        <v>0</v>
      </c>
      <c r="GH44" s="107">
        <f t="shared" si="49"/>
        <v>117</v>
      </c>
      <c r="GI44" s="107">
        <v>0</v>
      </c>
      <c r="GJ44" s="107">
        <v>0</v>
      </c>
      <c r="GK44" s="107">
        <v>0</v>
      </c>
      <c r="GL44" s="107">
        <v>0</v>
      </c>
      <c r="GM44" s="107">
        <f t="shared" si="47"/>
        <v>540</v>
      </c>
      <c r="GN44" s="107">
        <f t="shared" si="48"/>
        <v>0</v>
      </c>
      <c r="GO44" s="107">
        <f t="shared" si="54"/>
        <v>178</v>
      </c>
      <c r="GP44" s="107">
        <f>IF($H$120="yes",GO44*$FR$40,0)</f>
        <v>0</v>
      </c>
      <c r="GQ44" s="107">
        <f>IF($H$120="no",GO44*$FS$40,0)</f>
        <v>43313.333333333336</v>
      </c>
      <c r="GR44" s="107">
        <v>0</v>
      </c>
      <c r="GS44" s="107">
        <v>0</v>
      </c>
      <c r="GT44" s="107">
        <f t="shared" si="50"/>
        <v>1080</v>
      </c>
      <c r="GU44" s="107">
        <f t="shared" si="51"/>
        <v>0</v>
      </c>
      <c r="GV44" s="107">
        <f aca="true" t="shared" si="72" ref="GV44:GV52">ROUND(GV43-($I$17+$I$20)*GV43,0)</f>
        <v>269</v>
      </c>
      <c r="GW44" s="107">
        <f>IF($H$120="yes",GV44*$FR$39,0)</f>
        <v>0</v>
      </c>
      <c r="GX44" s="107">
        <f>IF($H$120="no",GV44*$FS$39,0)</f>
        <v>130913.33333333334</v>
      </c>
      <c r="GY44" s="107">
        <f>IF($H$120="yes",ROUND($I$17*GV44,0)*($FR$40),ROUND($I$17*GV44,0)*($FS$40))</f>
        <v>21656.666666666668</v>
      </c>
      <c r="GZ44" s="107">
        <f>IF($H$120="yes",ROUND($I$20*GV44,0)*($FR$40),ROUND($I$20*GV44,0)*($FS$40))</f>
        <v>730</v>
      </c>
      <c r="HA44" s="107">
        <f t="shared" si="55"/>
        <v>1620</v>
      </c>
      <c r="HB44" s="107">
        <f t="shared" si="56"/>
        <v>0</v>
      </c>
      <c r="HC44" s="107">
        <f>ROUND($I$7*($I$17+$I$20),0)</f>
        <v>408</v>
      </c>
      <c r="HD44" s="107">
        <f>IF($H$120="yes",HC44*$FR$38,0)</f>
        <v>0</v>
      </c>
      <c r="HE44" s="107">
        <f>IF($H$120="no",HC44*$FS$38,0)</f>
        <v>297840</v>
      </c>
      <c r="HF44" s="107">
        <f>IF($H$120="yes",ROUND($I$17*HC44,0)*($FR$39+$FR$40),ROUND($I$17*HC44,0)*($FS$39+$FS$40))</f>
        <v>98550</v>
      </c>
      <c r="HG44" s="107">
        <f>IF($H$120="yes",ROUND($I$20*HC44,0)*($FR$39+$FR$40),ROUND($I$20*HC44,0)*($FS$39+$FS$40))</f>
        <v>2920</v>
      </c>
      <c r="HH44" s="107">
        <f aca="true" t="shared" si="73" ref="HH44:HH53">IF($H$117="no",ROUND($I$20*HC44,0)*($I$18*$I$19),0)</f>
        <v>2160</v>
      </c>
      <c r="HI44" s="107">
        <f aca="true" t="shared" si="74" ref="HI44:HI53">IF($H$117="yes",ROUND(HC44*$I$17,0)*$I$18*$I$19,0)</f>
        <v>0</v>
      </c>
      <c r="HJ44" s="107">
        <v>0</v>
      </c>
      <c r="HK44" s="107">
        <v>0</v>
      </c>
      <c r="HL44" s="107">
        <v>0</v>
      </c>
      <c r="HM44" s="107">
        <v>0</v>
      </c>
      <c r="HN44" s="107">
        <v>0</v>
      </c>
      <c r="HO44" s="107">
        <v>0</v>
      </c>
      <c r="HP44" s="107">
        <v>0</v>
      </c>
      <c r="HQ44" s="107">
        <v>0</v>
      </c>
      <c r="HR44" s="107">
        <v>0</v>
      </c>
      <c r="HS44" s="107">
        <v>0</v>
      </c>
      <c r="HT44" s="107">
        <v>0</v>
      </c>
      <c r="HU44" s="107">
        <v>0</v>
      </c>
      <c r="HV44" s="107">
        <v>0</v>
      </c>
      <c r="HW44" s="107">
        <v>0</v>
      </c>
      <c r="HX44" s="107">
        <v>0</v>
      </c>
      <c r="HY44" s="107">
        <v>0</v>
      </c>
      <c r="HZ44" s="107">
        <v>0</v>
      </c>
      <c r="IA44" s="107">
        <v>0</v>
      </c>
      <c r="IB44" s="107">
        <v>0</v>
      </c>
      <c r="IC44" s="107">
        <v>0</v>
      </c>
      <c r="ID44" s="107">
        <v>0</v>
      </c>
      <c r="IE44" s="107">
        <v>0</v>
      </c>
      <c r="IF44" s="107">
        <v>0</v>
      </c>
      <c r="IG44" s="107">
        <v>0</v>
      </c>
      <c r="IH44" s="107">
        <v>0</v>
      </c>
      <c r="II44" s="107">
        <v>0</v>
      </c>
      <c r="IJ44" s="107">
        <v>0</v>
      </c>
      <c r="IK44" s="107">
        <v>0</v>
      </c>
      <c r="IL44" s="107">
        <f t="shared" si="34"/>
        <v>472066.6666666667</v>
      </c>
      <c r="IM44" s="107">
        <f t="shared" si="35"/>
        <v>123856.66666666667</v>
      </c>
      <c r="IN44" s="107">
        <f t="shared" si="36"/>
        <v>7020</v>
      </c>
      <c r="IO44" s="27">
        <f t="shared" si="36"/>
        <v>0</v>
      </c>
    </row>
    <row r="45" spans="1:249" ht="15.75">
      <c r="A45" s="480">
        <v>1</v>
      </c>
      <c r="B45" s="412" t="s">
        <v>259</v>
      </c>
      <c r="C45" s="413" t="s">
        <v>209</v>
      </c>
      <c r="D45" s="485">
        <v>8500</v>
      </c>
      <c r="E45" s="458">
        <f>D45*A45</f>
        <v>8500</v>
      </c>
      <c r="G45" s="394" t="s">
        <v>260</v>
      </c>
      <c r="H45" s="440"/>
      <c r="I45" s="500">
        <v>3.65</v>
      </c>
      <c r="J45" s="203"/>
      <c r="K45" s="270" t="s">
        <v>261</v>
      </c>
      <c r="L45" s="273"/>
      <c r="M45" s="273"/>
      <c r="N45" s="273"/>
      <c r="O45" s="273"/>
      <c r="P45" s="273"/>
      <c r="Q45" s="81"/>
      <c r="R45" s="81"/>
      <c r="S45" s="29" t="s">
        <v>227</v>
      </c>
      <c r="T45" s="386">
        <f>$I$7*$I$72*12</f>
        <v>29520</v>
      </c>
      <c r="U45" s="460">
        <f t="shared" si="57"/>
        <v>24.6</v>
      </c>
      <c r="V45" s="464">
        <f t="shared" si="58"/>
        <v>0.12746113989637306</v>
      </c>
      <c r="W45" s="47">
        <f t="shared" si="59"/>
        <v>0.7554920007293876</v>
      </c>
      <c r="X45" s="47">
        <f>(T45/$T$47)*100</f>
        <v>3.0138892343612036</v>
      </c>
      <c r="Y45" s="386">
        <f>$I$7*$I$72*12</f>
        <v>29520</v>
      </c>
      <c r="Z45" s="460">
        <f>Y45/$I$7</f>
        <v>24.6</v>
      </c>
      <c r="AA45" s="464">
        <f>IF($I$14="no",Y45/(($I$7*$I$10)/100),Y45/$Y$1)</f>
        <v>0.12619914841225055</v>
      </c>
      <c r="AB45" s="47">
        <f>(Y45/$Y$13)*100</f>
        <v>0.7485703561422365</v>
      </c>
      <c r="AC45" s="47">
        <f>(Y45/$Y$47)*100</f>
        <v>3.0138892343612036</v>
      </c>
      <c r="AD45" s="386">
        <f>$I$7*$I$72*12</f>
        <v>29520</v>
      </c>
      <c r="AE45" s="460">
        <f>AD45/$I$7</f>
        <v>24.6</v>
      </c>
      <c r="AF45" s="464">
        <f>IF($I$14="no",AD45/(($I$7*$I$10)/100),AD45/$AD$1)</f>
        <v>0.12494965189331737</v>
      </c>
      <c r="AG45" s="47">
        <f>(AD45/$AD$13)*100</f>
        <v>0.7417070525905547</v>
      </c>
      <c r="AH45" s="47">
        <f>(AD45/$AD$47)*100</f>
        <v>3.0138892343612036</v>
      </c>
      <c r="AI45" s="386">
        <f>$I$7*$I$72*12</f>
        <v>29520</v>
      </c>
      <c r="AJ45" s="460">
        <f>AI45/$I$7</f>
        <v>24.6</v>
      </c>
      <c r="AK45" s="464">
        <f>IF($I$14="no",AI45/(($I$7*$I$10)/100),AI45/$AI$1)</f>
        <v>0.1237125266270469</v>
      </c>
      <c r="AL45" s="47">
        <f>(AI45/$AI$13)*100</f>
        <v>0.7349016910392865</v>
      </c>
      <c r="AM45" s="47">
        <f>(AI45/$AI$47)*100</f>
        <v>3.0138892343612036</v>
      </c>
      <c r="AN45" s="386">
        <f>$I$7*$I$72*12</f>
        <v>29520</v>
      </c>
      <c r="AO45" s="460">
        <f t="shared" si="60"/>
        <v>24.6</v>
      </c>
      <c r="AP45" s="464">
        <f t="shared" si="61"/>
        <v>0.12248765012578901</v>
      </c>
      <c r="AQ45" s="47">
        <f t="shared" si="62"/>
        <v>0.7281538734741083</v>
      </c>
      <c r="AR45" s="47">
        <f>(AN45/$AN$47)*100</f>
        <v>3.013889234361203</v>
      </c>
      <c r="AS45" s="29" t="s">
        <v>227</v>
      </c>
      <c r="AT45" s="386">
        <f>$I$7*$I$72*12</f>
        <v>29520</v>
      </c>
      <c r="AU45" s="460">
        <f>AT45/$I$7</f>
        <v>24.6</v>
      </c>
      <c r="AV45" s="464">
        <f>IF($I$14="no",AT45/(($I$7*$I$10)/100),AT45/$AT$1)</f>
        <v>0.12127490111464259</v>
      </c>
      <c r="AW45" s="47">
        <f>(AT45/$AT$13)*100</f>
        <v>0.7214632029339874</v>
      </c>
      <c r="AX45" s="47">
        <f>(AT45/$AT$47)*100</f>
        <v>6.262942550068671</v>
      </c>
      <c r="AY45" s="386">
        <f>$I$7*$I$72*12</f>
        <v>29520</v>
      </c>
      <c r="AZ45" s="460">
        <f>AY45/$I$7</f>
        <v>24.6</v>
      </c>
      <c r="BA45" s="464">
        <f>IF($I$14="no",AY45/(($I$7*$I$10)/100),AY45/$AY$1)</f>
        <v>0.12007415951944812</v>
      </c>
      <c r="BB45" s="47">
        <f>(AY45/$AY$13)*100</f>
        <v>0.7148292835429448</v>
      </c>
      <c r="BC45" s="47">
        <f>(AY45/$AY$47)*100</f>
        <v>6.262942550068671</v>
      </c>
      <c r="BD45" s="386">
        <f>$I$7*$I$72*12</f>
        <v>29520</v>
      </c>
      <c r="BE45" s="460">
        <f>BD45/$I$7</f>
        <v>24.6</v>
      </c>
      <c r="BF45" s="464">
        <f>IF($I$14="no",BD45/(($I$7*$I$10)/100),BD45/$BD$1)</f>
        <v>0.11888530645489911</v>
      </c>
      <c r="BG45" s="47">
        <f>(BD45/$BD$13)*100</f>
        <v>0.7082517205410281</v>
      </c>
      <c r="BH45" s="47">
        <f>(BD45/$BD$47)*100</f>
        <v>6.262942550068671</v>
      </c>
      <c r="BI45" s="386">
        <f>$I$7*$I$72*12</f>
        <v>29520</v>
      </c>
      <c r="BJ45" s="460">
        <f>BI45/$I$7</f>
        <v>24.6</v>
      </c>
      <c r="BK45" s="464">
        <f>IF($I$14="no",BI45/(($I$7*$I$10)/100),BI45/$BI$1)</f>
        <v>0.1177082242127714</v>
      </c>
      <c r="BL45" s="47">
        <f>(BI45/$BI$13)*100</f>
        <v>0.7017301203145062</v>
      </c>
      <c r="BM45" s="47">
        <f>(BI45/$BI$47)*100</f>
        <v>6.262942550068671</v>
      </c>
      <c r="BN45" s="386">
        <f>$I$7*$I$72*12</f>
        <v>29520</v>
      </c>
      <c r="BO45" s="460">
        <f t="shared" si="63"/>
        <v>24.6</v>
      </c>
      <c r="BP45" s="464">
        <f t="shared" si="64"/>
        <v>0.11654279625026871</v>
      </c>
      <c r="BQ45" s="47">
        <f t="shared" si="65"/>
        <v>0.6952640904252911</v>
      </c>
      <c r="BR45" s="47">
        <f>(BN45/$BN$47)*100</f>
        <v>6.262942550068671</v>
      </c>
      <c r="BS45" s="29" t="s">
        <v>227</v>
      </c>
      <c r="BT45" s="386">
        <f>$I$7*$I$72*12</f>
        <v>29520</v>
      </c>
      <c r="BU45" s="460">
        <f>BT45/$I$7</f>
        <v>24.6</v>
      </c>
      <c r="BV45" s="464">
        <f>IF($I$14="no",BT45/(($I$7*$I$10)/100),BT45/$BT$1)</f>
        <v>0.11538890717848388</v>
      </c>
      <c r="BW45" s="47">
        <f>(BT45/$BT$13)*100</f>
        <v>0.6888532396396017</v>
      </c>
      <c r="BX45" s="47">
        <f>(BT45/$BT$47)*100</f>
        <v>5.710647696737855</v>
      </c>
      <c r="BY45" s="386">
        <f>$I$7*$I$72*12</f>
        <v>29520</v>
      </c>
      <c r="BZ45" s="460">
        <f>BY45/$I$7</f>
        <v>24.6</v>
      </c>
      <c r="CA45" s="464">
        <f>IF($I$14="no",BY45/(($I$7*$I$10)/100),BY45/$BY$1)</f>
        <v>0.11424644275097416</v>
      </c>
      <c r="CB45" s="47">
        <f>(BY45/$BY$13)*100</f>
        <v>0.6824971779558732</v>
      </c>
      <c r="CC45" s="47">
        <f>(BY45/$BY$47)*100</f>
        <v>5.710647696737856</v>
      </c>
      <c r="CD45" s="386">
        <f>$I$7*$I$72*12</f>
        <v>29520</v>
      </c>
      <c r="CE45" s="460">
        <f>CD45/$I$7</f>
        <v>24.6</v>
      </c>
      <c r="CF45" s="464">
        <f>IF($I$14="no",CD45/(($I$7*$I$10)/100),CD45/$CD$1)</f>
        <v>0.11311528985244966</v>
      </c>
      <c r="CG45" s="47">
        <f>(CD45/$CD$13)*100</f>
        <v>0.6761955166319255</v>
      </c>
      <c r="CH45" s="47">
        <f>(CD45/$CD$47)*100</f>
        <v>5.710647696737855</v>
      </c>
      <c r="CI45" s="386">
        <f>$I$7*$I$72*12</f>
        <v>29520</v>
      </c>
      <c r="CJ45" s="460">
        <f>CI45/$I$7</f>
        <v>24.6</v>
      </c>
      <c r="CK45" s="464">
        <f>IF($I$14="no",CI45/(($I$7*$I$10)/100),CI45/$CI$1)</f>
        <v>0.11199533648757391</v>
      </c>
      <c r="CL45" s="47">
        <f>(CI45/$CI$13)*100</f>
        <v>0.6699478682113976</v>
      </c>
      <c r="CM45" s="47">
        <f>(CI45/$CI$47)*100</f>
        <v>5.710647696737855</v>
      </c>
      <c r="CN45" s="386">
        <f>$I$7*$I$72*12</f>
        <v>29520</v>
      </c>
      <c r="CO45" s="460">
        <f t="shared" si="66"/>
        <v>24.6</v>
      </c>
      <c r="CP45" s="464">
        <f t="shared" si="67"/>
        <v>0.11088647176987514</v>
      </c>
      <c r="CQ45" s="47">
        <f t="shared" si="68"/>
        <v>0.6637538465494587</v>
      </c>
      <c r="CR45" s="47">
        <f>(CN45/$CN$47)*100</f>
        <v>5.710647696737855</v>
      </c>
      <c r="CS45" s="29" t="s">
        <v>227</v>
      </c>
      <c r="CT45" s="386">
        <f>$I$7*$I$72*12</f>
        <v>29520</v>
      </c>
      <c r="CU45" s="460">
        <f>CT45/$I$7</f>
        <v>24.6</v>
      </c>
      <c r="CV45" s="464">
        <f>IF($I$14="no",CT45/(($I$7*$I$10)/100),CT45/$CT$1)</f>
        <v>0.10978858591076747</v>
      </c>
      <c r="CW45" s="47">
        <f>(CT45/$CT$13)*100</f>
        <v>0.6576130668378039</v>
      </c>
      <c r="CX45" s="47">
        <f>(CT45/$CT$47)*100</f>
        <v>5.710647696737855</v>
      </c>
      <c r="CY45" s="386">
        <f>$I$7*$I$72*12</f>
        <v>29520</v>
      </c>
      <c r="CZ45" s="460">
        <f>CY45/$I$7</f>
        <v>24.6</v>
      </c>
      <c r="DA45" s="464">
        <f>IF($I$14="no",CY45/(($I$7*$I$10)/100),CY45/$CY$1)</f>
        <v>0.10870157020868067</v>
      </c>
      <c r="DB45" s="47">
        <f>(CY45/$CY$13)*100</f>
        <v>0.6515251456289445</v>
      </c>
      <c r="DC45" s="47">
        <f>(CY45/$CY$47)*100</f>
        <v>5.710647696737855</v>
      </c>
      <c r="DD45" s="386">
        <f>$I$7*$I$72*12</f>
        <v>29520</v>
      </c>
      <c r="DE45" s="460">
        <f>DD45/$I$7</f>
        <v>24.6</v>
      </c>
      <c r="DF45" s="464">
        <f>IF($I$14="no",DD45/(($I$7*$I$10)/100),DD45/$DD$1)</f>
        <v>0.10762531703829768</v>
      </c>
      <c r="DG45" s="47">
        <f>(DD45/$DD$13)*100</f>
        <v>0.6454897008598044</v>
      </c>
      <c r="DH45" s="47">
        <f>(DD45/$DD$47)*100</f>
        <v>5.710647696737854</v>
      </c>
      <c r="DI45" s="386">
        <f>$I$7*$I$72*12</f>
        <v>29520</v>
      </c>
      <c r="DJ45" s="460">
        <f>DI45/$I$7</f>
        <v>24.6</v>
      </c>
      <c r="DK45" s="464">
        <f>IF($I$14="no",DI45/(($I$7*$I$10)/100),DI45/$DI$1)</f>
        <v>0.10655971983989869</v>
      </c>
      <c r="DL45" s="47">
        <f>(DI45/$DI$13)*100</f>
        <v>0.6395063518746277</v>
      </c>
      <c r="DM45" s="47">
        <f>(DI45/$DI$47)*100</f>
        <v>5.710647696737855</v>
      </c>
      <c r="DN45" s="457">
        <f>$I$7*$I$72*12</f>
        <v>29520</v>
      </c>
      <c r="DO45" s="460">
        <f t="shared" si="69"/>
        <v>24.6</v>
      </c>
      <c r="DP45" s="464">
        <f t="shared" si="70"/>
        <v>0.10550467310881059</v>
      </c>
      <c r="DQ45" s="47">
        <f t="shared" si="71"/>
        <v>0.6335747194472096</v>
      </c>
      <c r="DR45" s="50">
        <f>(DN45/$DN$47)*100</f>
        <v>5.7106476967378565</v>
      </c>
      <c r="DT45" s="62">
        <v>7</v>
      </c>
      <c r="DU45" s="107">
        <f t="shared" si="37"/>
        <v>1490982.2309330476</v>
      </c>
      <c r="DV45" s="107">
        <f t="shared" si="38"/>
        <v>1276182.6006528975</v>
      </c>
      <c r="DW45" s="107">
        <f t="shared" si="38"/>
        <v>10190.066387462137</v>
      </c>
      <c r="DX45" s="107">
        <f t="shared" si="38"/>
        <v>10657.977599131318</v>
      </c>
      <c r="DY45" s="107">
        <f t="shared" si="38"/>
        <v>5718.914809289976</v>
      </c>
      <c r="DZ45" s="10">
        <f t="shared" si="38"/>
        <v>154803.55789779886</v>
      </c>
      <c r="EA45" s="79">
        <f t="shared" si="39"/>
        <v>343036.22938206565</v>
      </c>
      <c r="EB45" s="81"/>
      <c r="EC45" s="75"/>
      <c r="ED45" s="81"/>
      <c r="EE45" s="81"/>
      <c r="EF45" s="81"/>
      <c r="EG45" s="81"/>
      <c r="EH45" s="62">
        <v>8</v>
      </c>
      <c r="EI45" s="107">
        <v>0</v>
      </c>
      <c r="EJ45" s="107">
        <v>0</v>
      </c>
      <c r="EK45" s="107">
        <v>0</v>
      </c>
      <c r="EL45" s="107">
        <f>IF($H$97&lt;$EH40,0,-PPMT($I$97,$EH40,$H$97,($EK$14*$I$83),0,0))</f>
        <v>9677.97422037754</v>
      </c>
      <c r="EM45" s="107">
        <f>IF($H$97&lt;$EH40,0,-IPMT($I$97,$EH40,$H$97,($EK$14*$I$83),0,0))</f>
        <v>2855.2830562637687</v>
      </c>
      <c r="EN45" s="107">
        <f t="shared" si="52"/>
        <v>12533.257276641309</v>
      </c>
      <c r="EO45" s="107">
        <v>0</v>
      </c>
      <c r="EP45" s="107">
        <v>0</v>
      </c>
      <c r="EQ45" s="107">
        <v>0</v>
      </c>
      <c r="ER45" s="107">
        <v>0</v>
      </c>
      <c r="ES45" s="107">
        <v>0</v>
      </c>
      <c r="ET45" s="107">
        <v>0</v>
      </c>
      <c r="EU45" s="107">
        <v>0</v>
      </c>
      <c r="EV45" s="107">
        <v>0</v>
      </c>
      <c r="EW45" s="107">
        <v>0</v>
      </c>
      <c r="EX45" s="107">
        <v>0</v>
      </c>
      <c r="EY45" s="107">
        <v>0</v>
      </c>
      <c r="EZ45" s="107">
        <v>0</v>
      </c>
      <c r="FA45" s="107">
        <v>0</v>
      </c>
      <c r="FB45" s="107">
        <v>0</v>
      </c>
      <c r="FC45" s="107">
        <v>0</v>
      </c>
      <c r="FD45" s="107">
        <f>IF($H$103&lt;$EH40,0,-PPMT($I$103,$EH40,$H$103,($EW$14*$I$89),0,0))</f>
        <v>34796.039620034324</v>
      </c>
      <c r="FE45" s="107">
        <f>IF($H$103&lt;$EH40,0,-IPMT($I$103,$EH40,$H$103,($EW$14*$I$89),0,0))</f>
        <v>10265.840773059119</v>
      </c>
      <c r="FF45" s="79">
        <f t="shared" si="53"/>
        <v>45061.880393093445</v>
      </c>
      <c r="FH45" s="62">
        <v>8</v>
      </c>
      <c r="FI45" s="107">
        <f t="shared" si="40"/>
        <v>65</v>
      </c>
      <c r="FJ45" s="107">
        <v>0</v>
      </c>
      <c r="FK45" s="107">
        <v>0</v>
      </c>
      <c r="FL45" s="107">
        <v>0</v>
      </c>
      <c r="FM45" s="107">
        <v>0</v>
      </c>
      <c r="FN45" s="107">
        <v>0</v>
      </c>
      <c r="FO45" s="107">
        <v>0</v>
      </c>
      <c r="FP45" s="107">
        <f t="shared" si="32"/>
        <v>540</v>
      </c>
      <c r="FQ45" s="107">
        <f t="shared" si="33"/>
        <v>0</v>
      </c>
      <c r="FR45" s="107">
        <v>0</v>
      </c>
      <c r="FS45" s="107">
        <v>0</v>
      </c>
      <c r="FT45" s="107">
        <f t="shared" si="43"/>
        <v>34</v>
      </c>
      <c r="FU45" s="107">
        <v>0</v>
      </c>
      <c r="FV45" s="107">
        <v>0</v>
      </c>
      <c r="FW45" s="107">
        <v>0</v>
      </c>
      <c r="FX45" s="107">
        <v>0</v>
      </c>
      <c r="FY45" s="107">
        <f t="shared" si="41"/>
        <v>0</v>
      </c>
      <c r="FZ45" s="107">
        <f t="shared" si="42"/>
        <v>0</v>
      </c>
      <c r="GA45" s="107">
        <f t="shared" si="46"/>
        <v>51</v>
      </c>
      <c r="GB45" s="107">
        <v>0</v>
      </c>
      <c r="GC45" s="107">
        <v>0</v>
      </c>
      <c r="GD45" s="107">
        <v>0</v>
      </c>
      <c r="GE45" s="107">
        <v>0</v>
      </c>
      <c r="GF45" s="107">
        <f t="shared" si="44"/>
        <v>540</v>
      </c>
      <c r="GG45" s="107">
        <f t="shared" si="45"/>
        <v>0</v>
      </c>
      <c r="GH45" s="107">
        <f t="shared" si="49"/>
        <v>77</v>
      </c>
      <c r="GI45" s="107">
        <v>0</v>
      </c>
      <c r="GJ45" s="107">
        <v>0</v>
      </c>
      <c r="GK45" s="107">
        <v>0</v>
      </c>
      <c r="GL45" s="107">
        <v>0</v>
      </c>
      <c r="GM45" s="107">
        <f t="shared" si="47"/>
        <v>540</v>
      </c>
      <c r="GN45" s="107">
        <f t="shared" si="48"/>
        <v>0</v>
      </c>
      <c r="GO45" s="107">
        <f t="shared" si="54"/>
        <v>117</v>
      </c>
      <c r="GP45" s="107">
        <v>0</v>
      </c>
      <c r="GQ45" s="107">
        <v>0</v>
      </c>
      <c r="GR45" s="107">
        <v>0</v>
      </c>
      <c r="GS45" s="107">
        <v>0</v>
      </c>
      <c r="GT45" s="107">
        <f t="shared" si="50"/>
        <v>540</v>
      </c>
      <c r="GU45" s="107">
        <f t="shared" si="51"/>
        <v>0</v>
      </c>
      <c r="GV45" s="107">
        <f t="shared" si="72"/>
        <v>178</v>
      </c>
      <c r="GW45" s="107">
        <f>IF($H$120="yes",GV45*$FR$40,0)</f>
        <v>0</v>
      </c>
      <c r="GX45" s="107">
        <f>IF($H$120="no",GV45*$FS$40,0)</f>
        <v>43313.333333333336</v>
      </c>
      <c r="GY45" s="107">
        <v>0</v>
      </c>
      <c r="GZ45" s="107">
        <v>0</v>
      </c>
      <c r="HA45" s="107">
        <f t="shared" si="55"/>
        <v>1080</v>
      </c>
      <c r="HB45" s="107">
        <f t="shared" si="56"/>
        <v>0</v>
      </c>
      <c r="HC45" s="107">
        <f aca="true" t="shared" si="75" ref="HC45:HC53">ROUND(HC44-($I$17+$I$20)*HC44,0)</f>
        <v>269</v>
      </c>
      <c r="HD45" s="107">
        <f>IF($H$120="yes",HC45*$FR$39,0)</f>
        <v>0</v>
      </c>
      <c r="HE45" s="107">
        <f>IF($H$120="no",HC45*$FS$39,0)</f>
        <v>130913.33333333334</v>
      </c>
      <c r="HF45" s="107">
        <f>IF($H$120="yes",ROUND($I$17*HC45,0)*($FR$40),ROUND($I$17*HC45,0)*($FS$40))</f>
        <v>21656.666666666668</v>
      </c>
      <c r="HG45" s="107">
        <f>IF($H$120="yes",ROUND($I$20*HC45,0)*($FR$40),ROUND($I$20*HC45,0)*($FS$40))</f>
        <v>730</v>
      </c>
      <c r="HH45" s="107">
        <f t="shared" si="73"/>
        <v>1620</v>
      </c>
      <c r="HI45" s="107">
        <f t="shared" si="74"/>
        <v>0</v>
      </c>
      <c r="HJ45" s="107">
        <f>ROUND($I$7*($I$17+$I$20),0)</f>
        <v>408</v>
      </c>
      <c r="HK45" s="107">
        <f>IF($H$120="yes",HJ45*$FR$38,0)</f>
        <v>0</v>
      </c>
      <c r="HL45" s="107">
        <f>IF($H$120="no",HJ45*$FS$38,0)</f>
        <v>297840</v>
      </c>
      <c r="HM45" s="107">
        <f>IF($H$120="yes",ROUND($I$17*HJ45,0)*($FR$39+$FR$40),ROUND($I$17*HJ45,0)*($FS$39+$FS$40))</f>
        <v>98550</v>
      </c>
      <c r="HN45" s="107">
        <f>IF($H$120="yes",ROUND($I$20*HJ45,0)*($FR$39+$FR$40),ROUND($I$20*HJ45,0)*($FS$39+$FS$40))</f>
        <v>2920</v>
      </c>
      <c r="HO45" s="107">
        <f aca="true" t="shared" si="76" ref="HO45:HO54">IF($H$117="no",ROUND($I$20*HJ45,0)*($I$18*$I$19),)</f>
        <v>2160</v>
      </c>
      <c r="HP45" s="107">
        <f aca="true" t="shared" si="77" ref="HP45:HP54">IF($H$117="yes",ROUND(HJ45*$I$17,0)*$I$18*$I$19,0)</f>
        <v>0</v>
      </c>
      <c r="HQ45" s="107">
        <v>0</v>
      </c>
      <c r="HR45" s="107">
        <v>0</v>
      </c>
      <c r="HS45" s="107">
        <v>0</v>
      </c>
      <c r="HT45" s="107">
        <v>0</v>
      </c>
      <c r="HU45" s="107">
        <v>0</v>
      </c>
      <c r="HV45" s="107">
        <v>0</v>
      </c>
      <c r="HW45" s="107">
        <v>0</v>
      </c>
      <c r="HX45" s="107">
        <v>0</v>
      </c>
      <c r="HY45" s="107">
        <v>0</v>
      </c>
      <c r="HZ45" s="107">
        <v>0</v>
      </c>
      <c r="IA45" s="107">
        <v>0</v>
      </c>
      <c r="IB45" s="107">
        <v>0</v>
      </c>
      <c r="IC45" s="107">
        <v>0</v>
      </c>
      <c r="ID45" s="107">
        <v>0</v>
      </c>
      <c r="IE45" s="107">
        <v>0</v>
      </c>
      <c r="IF45" s="107">
        <v>0</v>
      </c>
      <c r="IG45" s="107">
        <v>0</v>
      </c>
      <c r="IH45" s="107">
        <v>0</v>
      </c>
      <c r="II45" s="107">
        <v>0</v>
      </c>
      <c r="IJ45" s="107">
        <v>0</v>
      </c>
      <c r="IK45" s="107">
        <v>0</v>
      </c>
      <c r="IL45" s="107">
        <f t="shared" si="34"/>
        <v>472066.6666666667</v>
      </c>
      <c r="IM45" s="107">
        <f t="shared" si="35"/>
        <v>123856.66666666667</v>
      </c>
      <c r="IN45" s="107">
        <f t="shared" si="36"/>
        <v>7020</v>
      </c>
      <c r="IO45" s="27">
        <f t="shared" si="36"/>
        <v>0</v>
      </c>
    </row>
    <row r="46" spans="1:249" ht="16.5" thickBot="1">
      <c r="A46" s="481">
        <v>1</v>
      </c>
      <c r="B46" s="414" t="s">
        <v>262</v>
      </c>
      <c r="C46" s="415" t="s">
        <v>209</v>
      </c>
      <c r="D46" s="486">
        <v>19000</v>
      </c>
      <c r="E46" s="459">
        <f>D46*A46</f>
        <v>19000</v>
      </c>
      <c r="G46" s="42" t="s">
        <v>263</v>
      </c>
      <c r="H46" s="440"/>
      <c r="I46" s="129"/>
      <c r="J46" s="203"/>
      <c r="K46" s="270"/>
      <c r="L46" s="273"/>
      <c r="M46" s="82"/>
      <c r="N46" s="273"/>
      <c r="O46" s="273"/>
      <c r="P46" s="273"/>
      <c r="Q46" s="81"/>
      <c r="R46" s="81"/>
      <c r="S46" s="29" t="s">
        <v>264</v>
      </c>
      <c r="T46" s="386">
        <f>$I$7*$I$73*12</f>
        <v>15840</v>
      </c>
      <c r="U46" s="460">
        <f t="shared" si="57"/>
        <v>13.2</v>
      </c>
      <c r="V46" s="464">
        <f t="shared" si="58"/>
        <v>0.06839378238341969</v>
      </c>
      <c r="W46" s="47">
        <f t="shared" si="59"/>
        <v>0.4053859516108909</v>
      </c>
      <c r="X46" s="47">
        <f>(T46/$T$47)*100</f>
        <v>1.617208857462109</v>
      </c>
      <c r="Y46" s="386">
        <f>$I$7*$I$73*12</f>
        <v>15840</v>
      </c>
      <c r="Z46" s="460">
        <f>Y46/$I$7</f>
        <v>13.2</v>
      </c>
      <c r="AA46" s="464">
        <f>IF($I$14="no",Y46/(($I$7*$I$10)/100),Y46/$Y$1)</f>
        <v>0.06771661622120762</v>
      </c>
      <c r="AB46" s="47">
        <f>(Y46/$Y$13)*100</f>
        <v>0.40167189841778544</v>
      </c>
      <c r="AC46" s="47">
        <f>(Y46/$Y$47)*100</f>
        <v>1.617208857462109</v>
      </c>
      <c r="AD46" s="386">
        <f>$I$7*$I$73*12</f>
        <v>15840</v>
      </c>
      <c r="AE46" s="460">
        <f>AD46/$I$7</f>
        <v>13.2</v>
      </c>
      <c r="AF46" s="464">
        <f>IF($I$14="no",AD46/(($I$7*$I$10)/100),AD46/$AD$1)</f>
        <v>0.06704615467446298</v>
      </c>
      <c r="AG46" s="47">
        <f>(AD46/$AD$13)*100</f>
        <v>0.39798915017054154</v>
      </c>
      <c r="AH46" s="47">
        <f>(AD46/$AD$47)*100</f>
        <v>1.617208857462109</v>
      </c>
      <c r="AI46" s="386">
        <f>$I$7*$I$73*12</f>
        <v>15840</v>
      </c>
      <c r="AJ46" s="460">
        <f>AI46/$I$7</f>
        <v>13.2</v>
      </c>
      <c r="AK46" s="464">
        <f>IF($I$14="no",AI46/(($I$7*$I$10)/100),AI46/$AI$1)</f>
        <v>0.06638233136085443</v>
      </c>
      <c r="AL46" s="47">
        <f>(AI46/$AI$13)*100</f>
        <v>0.39433749275278784</v>
      </c>
      <c r="AM46" s="47">
        <f>(AI46/$AI$47)*100</f>
        <v>1.617208857462109</v>
      </c>
      <c r="AN46" s="386">
        <f>$I$7*$I$73*12</f>
        <v>15840</v>
      </c>
      <c r="AO46" s="460">
        <f t="shared" si="60"/>
        <v>13.2</v>
      </c>
      <c r="AP46" s="464">
        <f t="shared" si="61"/>
        <v>0.06572508055530142</v>
      </c>
      <c r="AQ46" s="47">
        <f t="shared" si="62"/>
        <v>0.39071671259586294</v>
      </c>
      <c r="AR46" s="47">
        <f>(AN46/$AN$47)*100</f>
        <v>1.617208857462109</v>
      </c>
      <c r="AS46" s="29" t="s">
        <v>264</v>
      </c>
      <c r="AT46" s="386">
        <f>$I$7*$I$73*12</f>
        <v>15840</v>
      </c>
      <c r="AU46" s="460">
        <f>AT46/$I$7</f>
        <v>13.2</v>
      </c>
      <c r="AV46" s="464">
        <f>IF($I$14="no",AT46/(($I$7*$I$10)/100),AT46/$AT$1)</f>
        <v>0.06507433718346675</v>
      </c>
      <c r="AW46" s="47">
        <f>(AT46/$AT$13)*100</f>
        <v>0.3871265966962859</v>
      </c>
      <c r="AX46" s="47">
        <f>(AT46/$AT$47)*100</f>
        <v>3.3606033195490435</v>
      </c>
      <c r="AY46" s="386">
        <f>$I$7*$I$73*12</f>
        <v>15840</v>
      </c>
      <c r="AZ46" s="460">
        <f>AY46/$I$7</f>
        <v>13.2</v>
      </c>
      <c r="BA46" s="464">
        <f>IF($I$14="no",AY46/(($I$7*$I$10)/100),AY46/$AY$1)</f>
        <v>0.06443003681531363</v>
      </c>
      <c r="BB46" s="47">
        <f>(AY46/$AY$13)*100</f>
        <v>0.3835669326327997</v>
      </c>
      <c r="BC46" s="47">
        <f>(AY46/$AY$47)*100</f>
        <v>3.3606033195490435</v>
      </c>
      <c r="BD46" s="386">
        <f>$I$7*$I$73*12</f>
        <v>15840</v>
      </c>
      <c r="BE46" s="460">
        <f>BD46/$I$7</f>
        <v>13.2</v>
      </c>
      <c r="BF46" s="464">
        <f>IF($I$14="no",BD46/(($I$7*$I$10)/100),BD46/$BD$1)</f>
        <v>0.06379211565872635</v>
      </c>
      <c r="BG46" s="47">
        <f>(BD46/$BD$13)*100</f>
        <v>0.38003750858299074</v>
      </c>
      <c r="BH46" s="47">
        <f>(BD46/$BD$47)*100</f>
        <v>3.3606033195490435</v>
      </c>
      <c r="BI46" s="386">
        <f>$I$7*$I$73*12</f>
        <v>15840</v>
      </c>
      <c r="BJ46" s="460">
        <f>BI46/$I$7</f>
        <v>13.2</v>
      </c>
      <c r="BK46" s="464">
        <f>IF($I$14="no",BI46/(($I$7*$I$10)/100),BI46/$BI$1)</f>
        <v>0.06316051055319441</v>
      </c>
      <c r="BL46" s="47">
        <f>(BI46/$BI$13)*100</f>
        <v>0.37653811333949117</v>
      </c>
      <c r="BM46" s="47">
        <f>(BI46/$BI$47)*100</f>
        <v>3.3606033195490435</v>
      </c>
      <c r="BN46" s="386">
        <f>$I$7*$I$73*12</f>
        <v>15840</v>
      </c>
      <c r="BO46" s="460">
        <f t="shared" si="63"/>
        <v>13.2</v>
      </c>
      <c r="BP46" s="464">
        <f t="shared" si="64"/>
        <v>0.06253515896355882</v>
      </c>
      <c r="BQ46" s="47">
        <f t="shared" si="65"/>
        <v>0.373068536325766</v>
      </c>
      <c r="BR46" s="47">
        <f>(BN46/$BN$47)*100</f>
        <v>3.3606033195490435</v>
      </c>
      <c r="BS46" s="29" t="s">
        <v>264</v>
      </c>
      <c r="BT46" s="386">
        <f>$I$7*$I$73*12</f>
        <v>15840</v>
      </c>
      <c r="BU46" s="460">
        <f>BT46/$I$7</f>
        <v>13.2</v>
      </c>
      <c r="BV46" s="464">
        <f>IF($I$14="no",BT46/(($I$7*$I$10)/100),BT46/$BT$1)</f>
        <v>0.06191599897382062</v>
      </c>
      <c r="BW46" s="47">
        <f>(BT46/$BT$13)*100</f>
        <v>0.3696285676114936</v>
      </c>
      <c r="BX46" s="47">
        <f>(BT46/$BT$47)*100</f>
        <v>3.064249983615434</v>
      </c>
      <c r="BY46" s="386">
        <f>$I$7*$I$73*12</f>
        <v>15840</v>
      </c>
      <c r="BZ46" s="460">
        <f>BY46/$I$7</f>
        <v>13.2</v>
      </c>
      <c r="CA46" s="464">
        <f>IF($I$14="no",BY46/(($I$7*$I$10)/100),BY46/$BY$1)</f>
        <v>0.061302969281010526</v>
      </c>
      <c r="CB46" s="47">
        <f>(BY46/$BY$13)*100</f>
        <v>0.3662179979275417</v>
      </c>
      <c r="CC46" s="47">
        <f>(BY46/$BY$47)*100</f>
        <v>3.064249983615434</v>
      </c>
      <c r="CD46" s="386">
        <f>$I$7*$I$73*12</f>
        <v>15840</v>
      </c>
      <c r="CE46" s="460">
        <f>CD46/$I$7</f>
        <v>13.2</v>
      </c>
      <c r="CF46" s="464">
        <f>IF($I$14="no",CD46/(($I$7*$I$10)/100),CD46/$CD$1)</f>
        <v>0.060696009189119327</v>
      </c>
      <c r="CG46" s="47">
        <f>(CD46/$CD$13)*100</f>
        <v>0.36283661868054534</v>
      </c>
      <c r="CH46" s="47">
        <f>(CD46/$CD$47)*100</f>
        <v>3.064249983615434</v>
      </c>
      <c r="CI46" s="386">
        <f>$I$7*$I$73*12</f>
        <v>15840</v>
      </c>
      <c r="CJ46" s="460">
        <f>CI46/$I$7</f>
        <v>13.2</v>
      </c>
      <c r="CK46" s="464">
        <f>IF($I$14="no",CI46/(($I$7*$I$10)/100),CI46/$CI$1)</f>
        <v>0.06009505860308844</v>
      </c>
      <c r="CL46" s="47">
        <f>(CI46/$CI$13)*100</f>
        <v>0.3594842219670914</v>
      </c>
      <c r="CM46" s="47">
        <f>(CI46/$CI$47)*100</f>
        <v>3.064249983615434</v>
      </c>
      <c r="CN46" s="386">
        <f>$I$7*$I$73*12</f>
        <v>15840</v>
      </c>
      <c r="CO46" s="460">
        <f t="shared" si="66"/>
        <v>13.2</v>
      </c>
      <c r="CP46" s="464">
        <f t="shared" si="67"/>
        <v>0.059500058022859834</v>
      </c>
      <c r="CQ46" s="47">
        <f t="shared" si="68"/>
        <v>0.35616060058751436</v>
      </c>
      <c r="CR46" s="47">
        <f>(CN46/$CN$47)*100</f>
        <v>3.064249983615434</v>
      </c>
      <c r="CS46" s="29" t="s">
        <v>264</v>
      </c>
      <c r="CT46" s="386">
        <f>$I$7*$I$73*12</f>
        <v>15840</v>
      </c>
      <c r="CU46" s="460">
        <f>CT46/$I$7</f>
        <v>13.2</v>
      </c>
      <c r="CV46" s="464">
        <f>IF($I$14="no",CT46/(($I$7*$I$10)/100),CT46/$CT$1)</f>
        <v>0.058910948537484985</v>
      </c>
      <c r="CW46" s="47">
        <f>(CT46/$CT$13)*100</f>
        <v>0.35286554805930936</v>
      </c>
      <c r="CX46" s="47">
        <f>(CT46/$CT$47)*100</f>
        <v>3.064249983615434</v>
      </c>
      <c r="CY46" s="386">
        <f>$I$7*$I$73*12</f>
        <v>15840</v>
      </c>
      <c r="CZ46" s="460">
        <f>CY46/$I$7</f>
        <v>13.2</v>
      </c>
      <c r="DA46" s="464">
        <f>IF($I$14="no",CY46/(($I$7*$I$10)/100),CY46/$CY$1)</f>
        <v>0.05832767181929206</v>
      </c>
      <c r="DB46" s="47">
        <f>(CY46/$CY$13)*100</f>
        <v>0.34959885863016527</v>
      </c>
      <c r="DC46" s="47">
        <f>(CY46/$CY$47)*100</f>
        <v>3.064249983615434</v>
      </c>
      <c r="DD46" s="386">
        <f>$I$7*$I$73*12</f>
        <v>15840</v>
      </c>
      <c r="DE46" s="460">
        <f>DD46/$I$7</f>
        <v>13.2</v>
      </c>
      <c r="DF46" s="464">
        <f>IF($I$14="no",DD46/(($I$7*$I$10)/100),DD46/$DD$1)</f>
        <v>0.05775017011811095</v>
      </c>
      <c r="DG46" s="47">
        <f>(DD46/$DD$13)*100</f>
        <v>0.3463603272906267</v>
      </c>
      <c r="DH46" s="47">
        <f>(DD46/$DD$47)*100</f>
        <v>3.0642499836154333</v>
      </c>
      <c r="DI46" s="386">
        <f>$I$7*$I$73*12</f>
        <v>15840</v>
      </c>
      <c r="DJ46" s="460">
        <f>DI46/$I$7</f>
        <v>13.2</v>
      </c>
      <c r="DK46" s="464">
        <f>IF($I$14="no",DI46/(($I$7*$I$10)/100),DI46/$DI$1)</f>
        <v>0.057178386255555394</v>
      </c>
      <c r="DL46" s="47">
        <f>(DI46/$DI$13)*100</f>
        <v>0.34314974978638557</v>
      </c>
      <c r="DM46" s="47">
        <f>(DI46/$DI$47)*100</f>
        <v>3.064249983615434</v>
      </c>
      <c r="DN46" s="457">
        <f>$I$7*$I$73*12</f>
        <v>15840</v>
      </c>
      <c r="DO46" s="460">
        <f t="shared" si="69"/>
        <v>13.2</v>
      </c>
      <c r="DP46" s="464">
        <f t="shared" si="70"/>
        <v>0.05661226361936178</v>
      </c>
      <c r="DQ46" s="47">
        <f t="shared" si="71"/>
        <v>0.33996692263021</v>
      </c>
      <c r="DR46" s="50">
        <f>(DN46/$DN$47)*100</f>
        <v>3.0642499836154347</v>
      </c>
      <c r="DT46" s="62">
        <v>8</v>
      </c>
      <c r="DU46" s="107">
        <f t="shared" si="37"/>
        <v>1380577.105079415</v>
      </c>
      <c r="DV46" s="107">
        <f t="shared" si="38"/>
        <v>1174032.2026912393</v>
      </c>
      <c r="DW46" s="107">
        <f t="shared" si="38"/>
        <v>9348.684759139574</v>
      </c>
      <c r="DX46" s="107">
        <f t="shared" si="38"/>
        <v>9777.961100120474</v>
      </c>
      <c r="DY46" s="107">
        <f t="shared" si="38"/>
        <v>5246.710834210987</v>
      </c>
      <c r="DZ46" s="10">
        <f t="shared" si="38"/>
        <v>133053.0507274486</v>
      </c>
      <c r="EA46" s="79">
        <f t="shared" si="39"/>
        <v>315224.5964221534</v>
      </c>
      <c r="EB46" s="81"/>
      <c r="EC46" s="75"/>
      <c r="ED46" s="81"/>
      <c r="EE46" s="81"/>
      <c r="EF46" s="81"/>
      <c r="EG46" s="81"/>
      <c r="EH46" s="62">
        <v>9</v>
      </c>
      <c r="EI46" s="107">
        <v>0</v>
      </c>
      <c r="EJ46" s="107">
        <v>0</v>
      </c>
      <c r="EK46" s="107">
        <v>0</v>
      </c>
      <c r="EL46" s="107">
        <f>IF($H$97&lt;$EH41,0,-PPMT($I$97,$EH41,$H$97,($EK$14*$I$83),0,0))</f>
        <v>10548.99190021152</v>
      </c>
      <c r="EM46" s="107">
        <f>IF($H$97&lt;$EH41,0,-IPMT($I$97,$EH41,$H$97,($EK$14*$I$83),0,0))</f>
        <v>1984.265376429789</v>
      </c>
      <c r="EN46" s="107">
        <f t="shared" si="52"/>
        <v>12533.257276641309</v>
      </c>
      <c r="EO46" s="107">
        <v>0</v>
      </c>
      <c r="EP46" s="107">
        <v>0</v>
      </c>
      <c r="EQ46" s="107">
        <v>0</v>
      </c>
      <c r="ER46" s="107">
        <v>0</v>
      </c>
      <c r="ES46" s="107">
        <v>0</v>
      </c>
      <c r="ET46" s="107">
        <v>0</v>
      </c>
      <c r="EU46" s="107">
        <v>0</v>
      </c>
      <c r="EV46" s="107">
        <v>0</v>
      </c>
      <c r="EW46" s="107">
        <v>0</v>
      </c>
      <c r="EX46" s="107">
        <v>0</v>
      </c>
      <c r="EY46" s="107">
        <v>0</v>
      </c>
      <c r="EZ46" s="107">
        <v>0</v>
      </c>
      <c r="FA46" s="107">
        <v>0</v>
      </c>
      <c r="FB46" s="107">
        <v>0</v>
      </c>
      <c r="FC46" s="107">
        <v>0</v>
      </c>
      <c r="FD46" s="107">
        <f>IF($H$103&lt;$EH41,0,-PPMT($I$103,$EH41,$H$103,($EW$14*$I$89),0,0))</f>
        <v>37927.68318583742</v>
      </c>
      <c r="FE46" s="107">
        <f>IF($H$103&lt;$EH41,0,-IPMT($I$103,$EH41,$H$103,($EW$14*$I$89),0,0))</f>
        <v>7134.197207256027</v>
      </c>
      <c r="FF46" s="79">
        <f t="shared" si="53"/>
        <v>45061.880393093445</v>
      </c>
      <c r="FH46" s="62">
        <v>9</v>
      </c>
      <c r="FI46" s="107">
        <f t="shared" si="40"/>
        <v>43</v>
      </c>
      <c r="FJ46" s="107">
        <v>0</v>
      </c>
      <c r="FK46" s="107">
        <v>0</v>
      </c>
      <c r="FL46" s="107">
        <v>0</v>
      </c>
      <c r="FM46" s="107">
        <v>0</v>
      </c>
      <c r="FN46" s="107">
        <v>0</v>
      </c>
      <c r="FO46" s="107">
        <v>0</v>
      </c>
      <c r="FP46" s="107">
        <f t="shared" si="32"/>
        <v>0</v>
      </c>
      <c r="FQ46" s="107">
        <f t="shared" si="33"/>
        <v>0</v>
      </c>
      <c r="FR46" s="107">
        <v>0</v>
      </c>
      <c r="FS46" s="107">
        <v>0</v>
      </c>
      <c r="FT46" s="107">
        <f t="shared" si="43"/>
        <v>22</v>
      </c>
      <c r="FU46" s="107">
        <v>0</v>
      </c>
      <c r="FV46" s="107">
        <v>0</v>
      </c>
      <c r="FW46" s="107">
        <v>0</v>
      </c>
      <c r="FX46" s="107">
        <v>0</v>
      </c>
      <c r="FY46" s="107">
        <f t="shared" si="41"/>
        <v>0</v>
      </c>
      <c r="FZ46" s="107">
        <f t="shared" si="42"/>
        <v>0</v>
      </c>
      <c r="GA46" s="107">
        <f t="shared" si="46"/>
        <v>34</v>
      </c>
      <c r="GB46" s="107">
        <v>0</v>
      </c>
      <c r="GC46" s="107">
        <v>0</v>
      </c>
      <c r="GD46" s="107">
        <v>0</v>
      </c>
      <c r="GE46" s="107">
        <v>0</v>
      </c>
      <c r="GF46" s="107">
        <f t="shared" si="44"/>
        <v>0</v>
      </c>
      <c r="GG46" s="107">
        <f t="shared" si="45"/>
        <v>0</v>
      </c>
      <c r="GH46" s="107">
        <f t="shared" si="49"/>
        <v>51</v>
      </c>
      <c r="GI46" s="107">
        <v>0</v>
      </c>
      <c r="GJ46" s="107">
        <v>0</v>
      </c>
      <c r="GK46" s="107">
        <v>0</v>
      </c>
      <c r="GL46" s="107">
        <v>0</v>
      </c>
      <c r="GM46" s="107">
        <f t="shared" si="47"/>
        <v>540</v>
      </c>
      <c r="GN46" s="107">
        <f t="shared" si="48"/>
        <v>0</v>
      </c>
      <c r="GO46" s="107">
        <f t="shared" si="54"/>
        <v>77</v>
      </c>
      <c r="GP46" s="107">
        <v>0</v>
      </c>
      <c r="GQ46" s="107">
        <v>0</v>
      </c>
      <c r="GR46" s="107">
        <v>0</v>
      </c>
      <c r="GS46" s="107">
        <v>0</v>
      </c>
      <c r="GT46" s="107">
        <f t="shared" si="50"/>
        <v>540</v>
      </c>
      <c r="GU46" s="107">
        <f t="shared" si="51"/>
        <v>0</v>
      </c>
      <c r="GV46" s="107">
        <f t="shared" si="72"/>
        <v>117</v>
      </c>
      <c r="GW46" s="107">
        <v>0</v>
      </c>
      <c r="GX46" s="107">
        <v>0</v>
      </c>
      <c r="GY46" s="107">
        <v>0</v>
      </c>
      <c r="GZ46" s="107">
        <v>0</v>
      </c>
      <c r="HA46" s="107">
        <f t="shared" si="55"/>
        <v>540</v>
      </c>
      <c r="HB46" s="107">
        <f t="shared" si="56"/>
        <v>0</v>
      </c>
      <c r="HC46" s="107">
        <f t="shared" si="75"/>
        <v>178</v>
      </c>
      <c r="HD46" s="107">
        <f>IF($H$120="yes",HC46*$FR$40,0)</f>
        <v>0</v>
      </c>
      <c r="HE46" s="107">
        <f>IF($H$120="no",HC46*$FS$40,0)</f>
        <v>43313.333333333336</v>
      </c>
      <c r="HF46" s="107">
        <v>0</v>
      </c>
      <c r="HG46" s="107">
        <v>0</v>
      </c>
      <c r="HH46" s="107">
        <f t="shared" si="73"/>
        <v>1080</v>
      </c>
      <c r="HI46" s="107">
        <f t="shared" si="74"/>
        <v>0</v>
      </c>
      <c r="HJ46" s="107">
        <f aca="true" t="shared" si="78" ref="HJ46:HJ54">ROUND(HJ45-($I$17+$I$20)*HJ45,0)</f>
        <v>269</v>
      </c>
      <c r="HK46" s="107">
        <f>IF($H$120="yes",HJ46*$FR$39,0)</f>
        <v>0</v>
      </c>
      <c r="HL46" s="107">
        <f>IF($H$120="no",HJ46*$FS$39,0)</f>
        <v>130913.33333333334</v>
      </c>
      <c r="HM46" s="107">
        <f>IF($H$120="yes",ROUND($I$17*HJ46,0)*($FR$40),ROUND($I$17*HJ46,0)*($FS$40))</f>
        <v>21656.666666666668</v>
      </c>
      <c r="HN46" s="107">
        <f>IF($H$120="yes",ROUND($I$20*HJ46,0)*($FR$40),ROUND($I$20*HJ46,0)*($FS$40))</f>
        <v>730</v>
      </c>
      <c r="HO46" s="107">
        <f t="shared" si="76"/>
        <v>1620</v>
      </c>
      <c r="HP46" s="107">
        <f t="shared" si="77"/>
        <v>0</v>
      </c>
      <c r="HQ46" s="107">
        <f>ROUND($I$7*($I$17+$I$20),0)</f>
        <v>408</v>
      </c>
      <c r="HR46" s="107">
        <f>IF($H$120="yes",HQ46*$FR$38,0)</f>
        <v>0</v>
      </c>
      <c r="HS46" s="107">
        <f>IF($H$120="no",HQ46*$FS$38,0)</f>
        <v>297840</v>
      </c>
      <c r="HT46" s="107">
        <f>IF($H$120="yes",ROUND($I$17*HQ46,0)*($FR$39+$FR$40),ROUND($I$17*HQ46,0)*($FS$39+$FS$40))</f>
        <v>98550</v>
      </c>
      <c r="HU46" s="107">
        <f>IF($H$120="yes",ROUND($I$20*HQ46,0)*($FR$39+$FR$40),ROUND($I$20*HQ46,0)*($FS$39+$FS$40))</f>
        <v>2920</v>
      </c>
      <c r="HV46" s="107">
        <f aca="true" t="shared" si="79" ref="HV46:HV55">IF($H$117="no",ROUND($I$20*HQ46,0)*($I$18*$I$19),0)</f>
        <v>2160</v>
      </c>
      <c r="HW46" s="107">
        <f aca="true" t="shared" si="80" ref="HW46:HW55">IF($H$117="yes",ROUND(HQ46*$I$17,0)*$I$18*$I$19,0)</f>
        <v>0</v>
      </c>
      <c r="HX46" s="107">
        <v>0</v>
      </c>
      <c r="HY46" s="107">
        <v>0</v>
      </c>
      <c r="HZ46" s="107">
        <v>0</v>
      </c>
      <c r="IA46" s="107">
        <v>0</v>
      </c>
      <c r="IB46" s="107">
        <v>0</v>
      </c>
      <c r="IC46" s="107">
        <v>0</v>
      </c>
      <c r="ID46" s="107">
        <v>0</v>
      </c>
      <c r="IE46" s="107">
        <v>0</v>
      </c>
      <c r="IF46" s="107">
        <v>0</v>
      </c>
      <c r="IG46" s="107">
        <v>0</v>
      </c>
      <c r="IH46" s="107">
        <v>0</v>
      </c>
      <c r="II46" s="107">
        <v>0</v>
      </c>
      <c r="IJ46" s="107">
        <v>0</v>
      </c>
      <c r="IK46" s="107">
        <v>0</v>
      </c>
      <c r="IL46" s="107">
        <f t="shared" si="34"/>
        <v>472066.6666666667</v>
      </c>
      <c r="IM46" s="107">
        <f t="shared" si="35"/>
        <v>123856.66666666667</v>
      </c>
      <c r="IN46" s="107">
        <f t="shared" si="36"/>
        <v>6480</v>
      </c>
      <c r="IO46" s="27">
        <f t="shared" si="36"/>
        <v>0</v>
      </c>
    </row>
    <row r="47" spans="1:249" ht="16.5" thickTop="1">
      <c r="A47" s="13"/>
      <c r="B47" s="418"/>
      <c r="C47" s="425"/>
      <c r="D47" s="376" t="s">
        <v>104</v>
      </c>
      <c r="E47" s="368">
        <f>ROUND(SUM(E43:E46),0)</f>
        <v>97500</v>
      </c>
      <c r="G47" s="396" t="s">
        <v>265</v>
      </c>
      <c r="H47" s="440"/>
      <c r="I47" s="505">
        <v>3.2</v>
      </c>
      <c r="J47" s="203"/>
      <c r="K47" s="206" t="s">
        <v>266</v>
      </c>
      <c r="L47" s="113"/>
      <c r="M47" s="113"/>
      <c r="N47" s="113"/>
      <c r="O47" s="113"/>
      <c r="P47" s="113"/>
      <c r="Q47" s="81"/>
      <c r="R47" s="81"/>
      <c r="S47" s="48" t="s">
        <v>267</v>
      </c>
      <c r="T47" s="49">
        <f>SUM(T41:T46)</f>
        <v>979465.3255150828</v>
      </c>
      <c r="U47" s="164">
        <f t="shared" si="57"/>
        <v>816.2211045959024</v>
      </c>
      <c r="V47" s="174">
        <f t="shared" si="58"/>
        <v>4.229124894279287</v>
      </c>
      <c r="W47" s="179">
        <f t="shared" si="59"/>
        <v>25.067012819053215</v>
      </c>
      <c r="X47" s="179">
        <f>(T47/$T$47)*100</f>
        <v>100</v>
      </c>
      <c r="Y47" s="49">
        <f aca="true" t="shared" si="81" ref="Y47:AN47">SUM(Y41:Y46)</f>
        <v>979465.3255150828</v>
      </c>
      <c r="Z47" s="49">
        <f t="shared" si="81"/>
        <v>816.2211045959024</v>
      </c>
      <c r="AA47" s="231">
        <f t="shared" si="81"/>
        <v>4.1872523705735505</v>
      </c>
      <c r="AB47" s="230">
        <f t="shared" si="81"/>
        <v>24.8373545917953</v>
      </c>
      <c r="AC47" s="230">
        <f t="shared" si="81"/>
        <v>100</v>
      </c>
      <c r="AD47" s="49">
        <f t="shared" si="81"/>
        <v>979465.3255150828</v>
      </c>
      <c r="AE47" s="49">
        <f t="shared" si="81"/>
        <v>816.2211045959024</v>
      </c>
      <c r="AF47" s="231">
        <f t="shared" si="81"/>
        <v>4.145794426310446</v>
      </c>
      <c r="AG47" s="230">
        <f t="shared" si="81"/>
        <v>24.609632103741205</v>
      </c>
      <c r="AH47" s="230">
        <f t="shared" si="81"/>
        <v>99.99999999999997</v>
      </c>
      <c r="AI47" s="49">
        <f t="shared" si="81"/>
        <v>979465.3255150828</v>
      </c>
      <c r="AJ47" s="49">
        <f t="shared" si="81"/>
        <v>816.2211045959024</v>
      </c>
      <c r="AK47" s="231">
        <f t="shared" si="81"/>
        <v>4.104746956743017</v>
      </c>
      <c r="AL47" s="230">
        <f t="shared" si="81"/>
        <v>24.383832115019633</v>
      </c>
      <c r="AM47" s="230">
        <f t="shared" si="81"/>
        <v>99.99999999999997</v>
      </c>
      <c r="AN47" s="49">
        <f t="shared" si="81"/>
        <v>979465.3255150829</v>
      </c>
      <c r="AO47" s="164">
        <f t="shared" si="60"/>
        <v>816.2211045959025</v>
      </c>
      <c r="AP47" s="174">
        <f t="shared" si="61"/>
        <v>4.064105897765363</v>
      </c>
      <c r="AQ47" s="179">
        <f t="shared" si="62"/>
        <v>24.159941419626897</v>
      </c>
      <c r="AR47" s="179">
        <f>(AN47/$AN$47)*100</f>
        <v>100</v>
      </c>
      <c r="AS47" s="48" t="s">
        <v>267</v>
      </c>
      <c r="AT47" s="49">
        <f aca="true" t="shared" si="82" ref="AT47:BC47">SUM(AT41:AT46)</f>
        <v>471343.9371989181</v>
      </c>
      <c r="AU47" s="49">
        <f t="shared" si="82"/>
        <v>392.7866143324317</v>
      </c>
      <c r="AV47" s="231">
        <f t="shared" si="82"/>
        <v>1.9363885289561351</v>
      </c>
      <c r="AW47" s="230">
        <f t="shared" si="82"/>
        <v>11.51955645714931</v>
      </c>
      <c r="AX47" s="230">
        <f t="shared" si="82"/>
        <v>99.99999999999999</v>
      </c>
      <c r="AY47" s="49">
        <f t="shared" si="82"/>
        <v>471343.9371989181</v>
      </c>
      <c r="AZ47" s="49">
        <f t="shared" si="82"/>
        <v>392.7866143324317</v>
      </c>
      <c r="BA47" s="231">
        <f t="shared" si="82"/>
        <v>1.9172163653031042</v>
      </c>
      <c r="BB47" s="230">
        <f t="shared" si="82"/>
        <v>11.413633093841918</v>
      </c>
      <c r="BC47" s="230">
        <f t="shared" si="82"/>
        <v>100</v>
      </c>
      <c r="BD47" s="49">
        <f aca="true" t="shared" si="83" ref="BD47:BN47">SUM(BD41:BD46)</f>
        <v>471343.9371989181</v>
      </c>
      <c r="BE47" s="49">
        <f t="shared" si="83"/>
        <v>392.7866143324317</v>
      </c>
      <c r="BF47" s="231">
        <f t="shared" si="83"/>
        <v>1.8982340250525782</v>
      </c>
      <c r="BG47" s="230">
        <f t="shared" si="83"/>
        <v>11.308609569367075</v>
      </c>
      <c r="BH47" s="230">
        <f t="shared" si="83"/>
        <v>100</v>
      </c>
      <c r="BI47" s="49">
        <f t="shared" si="83"/>
        <v>471343.9371989181</v>
      </c>
      <c r="BJ47" s="49">
        <f t="shared" si="83"/>
        <v>392.7866143324317</v>
      </c>
      <c r="BK47" s="231">
        <f t="shared" si="83"/>
        <v>1.8794396287649284</v>
      </c>
      <c r="BL47" s="230">
        <f t="shared" si="83"/>
        <v>11.204479598919708</v>
      </c>
      <c r="BM47" s="230">
        <f t="shared" si="83"/>
        <v>100</v>
      </c>
      <c r="BN47" s="49">
        <f t="shared" si="83"/>
        <v>471343.9371989181</v>
      </c>
      <c r="BO47" s="164">
        <f t="shared" si="63"/>
        <v>392.7866143324317</v>
      </c>
      <c r="BP47" s="174">
        <f t="shared" si="64"/>
        <v>1.8608313156088403</v>
      </c>
      <c r="BQ47" s="179">
        <f t="shared" si="65"/>
        <v>11.10123691646617</v>
      </c>
      <c r="BR47" s="179">
        <f>(BN47/$BN$47)*100</f>
        <v>100</v>
      </c>
      <c r="BS47" s="48" t="s">
        <v>267</v>
      </c>
      <c r="BT47" s="49">
        <f aca="true" t="shared" si="84" ref="BT47:CC47">SUM(BT41:BT46)</f>
        <v>516929.10450180597</v>
      </c>
      <c r="BU47" s="49">
        <f t="shared" si="84"/>
        <v>430.774253751505</v>
      </c>
      <c r="BV47" s="231">
        <f t="shared" si="84"/>
        <v>2.0205922919111003</v>
      </c>
      <c r="BW47" s="230">
        <f t="shared" si="84"/>
        <v>12.062611392278702</v>
      </c>
      <c r="BX47" s="230">
        <f t="shared" si="84"/>
        <v>100</v>
      </c>
      <c r="BY47" s="49">
        <f t="shared" si="84"/>
        <v>516929.1045018059</v>
      </c>
      <c r="BZ47" s="49">
        <f t="shared" si="84"/>
        <v>430.7742537515049</v>
      </c>
      <c r="CA47" s="231">
        <f t="shared" si="84"/>
        <v>2.0005864276347527</v>
      </c>
      <c r="CB47" s="230">
        <f t="shared" si="84"/>
        <v>11.951309452091436</v>
      </c>
      <c r="CC47" s="230">
        <f t="shared" si="84"/>
        <v>100</v>
      </c>
      <c r="CD47" s="49">
        <f aca="true" t="shared" si="85" ref="CD47:CN47">SUM(CD41:CD46)</f>
        <v>516929.10450180597</v>
      </c>
      <c r="CE47" s="49">
        <f t="shared" si="85"/>
        <v>430.774253751505</v>
      </c>
      <c r="CF47" s="231">
        <f t="shared" si="85"/>
        <v>1.980778641222528</v>
      </c>
      <c r="CG47" s="230">
        <f t="shared" si="85"/>
        <v>11.840960124684187</v>
      </c>
      <c r="CH47" s="230">
        <f t="shared" si="85"/>
        <v>100.00000000000001</v>
      </c>
      <c r="CI47" s="49">
        <f t="shared" si="85"/>
        <v>516929.10450180597</v>
      </c>
      <c r="CJ47" s="49">
        <f t="shared" si="85"/>
        <v>430.77425375150494</v>
      </c>
      <c r="CK47" s="231">
        <f t="shared" si="85"/>
        <v>1.961166971507453</v>
      </c>
      <c r="CL47" s="230">
        <f t="shared" si="85"/>
        <v>11.731556625251075</v>
      </c>
      <c r="CM47" s="230">
        <f t="shared" si="85"/>
        <v>100</v>
      </c>
      <c r="CN47" s="49">
        <f t="shared" si="85"/>
        <v>516929.10450180597</v>
      </c>
      <c r="CO47" s="164">
        <f t="shared" si="66"/>
        <v>430.774253751505</v>
      </c>
      <c r="CP47" s="174">
        <f t="shared" si="67"/>
        <v>1.9417494767400523</v>
      </c>
      <c r="CQ47" s="179">
        <f t="shared" si="68"/>
        <v>11.623092191952601</v>
      </c>
      <c r="CR47" s="179">
        <f>(CN47/$CN$47)*100</f>
        <v>100</v>
      </c>
      <c r="CS47" s="48" t="s">
        <v>267</v>
      </c>
      <c r="CT47" s="49">
        <f aca="true" t="shared" si="86" ref="CT47:DC47">SUM(CT41:CT46)</f>
        <v>516929.10450180597</v>
      </c>
      <c r="CU47" s="49">
        <f t="shared" si="86"/>
        <v>430.77425375150494</v>
      </c>
      <c r="CV47" s="231">
        <f t="shared" si="86"/>
        <v>1.9225242343960915</v>
      </c>
      <c r="CW47" s="230">
        <f t="shared" si="86"/>
        <v>11.515560086353394</v>
      </c>
      <c r="CX47" s="230">
        <f t="shared" si="86"/>
        <v>100</v>
      </c>
      <c r="CY47" s="49">
        <f t="shared" si="86"/>
        <v>516929.10450180597</v>
      </c>
      <c r="CZ47" s="49">
        <f t="shared" si="86"/>
        <v>430.77425375150494</v>
      </c>
      <c r="DA47" s="231">
        <f t="shared" si="86"/>
        <v>1.9034893409862295</v>
      </c>
      <c r="DB47" s="230">
        <f t="shared" si="86"/>
        <v>11.408953593847526</v>
      </c>
      <c r="DC47" s="230">
        <f t="shared" si="86"/>
        <v>100.00000000000001</v>
      </c>
      <c r="DD47" s="49">
        <f aca="true" t="shared" si="87" ref="DD47:DN47">SUM(DD41:DD46)</f>
        <v>516929.1045018061</v>
      </c>
      <c r="DE47" s="49">
        <f t="shared" si="87"/>
        <v>430.77425375150506</v>
      </c>
      <c r="DF47" s="231">
        <f t="shared" si="87"/>
        <v>1.8846429118675538</v>
      </c>
      <c r="DG47" s="230">
        <f t="shared" si="87"/>
        <v>11.303266024071727</v>
      </c>
      <c r="DH47" s="230">
        <f t="shared" si="87"/>
        <v>100</v>
      </c>
      <c r="DI47" s="49">
        <f t="shared" si="87"/>
        <v>516929.10450180597</v>
      </c>
      <c r="DJ47" s="49">
        <f t="shared" si="87"/>
        <v>430.77425375150494</v>
      </c>
      <c r="DK47" s="231">
        <f t="shared" si="87"/>
        <v>1.8659830810569837</v>
      </c>
      <c r="DL47" s="230">
        <f t="shared" si="87"/>
        <v>11.198490711306508</v>
      </c>
      <c r="DM47" s="230">
        <f t="shared" si="87"/>
        <v>100.00000000000001</v>
      </c>
      <c r="DN47" s="92">
        <f t="shared" si="87"/>
        <v>516929.10450180585</v>
      </c>
      <c r="DO47" s="164">
        <f t="shared" si="69"/>
        <v>430.7742537515049</v>
      </c>
      <c r="DP47" s="174">
        <f t="shared" si="70"/>
        <v>1.8475080010465181</v>
      </c>
      <c r="DQ47" s="179">
        <f t="shared" si="71"/>
        <v>11.094621014865478</v>
      </c>
      <c r="DR47" s="188">
        <f>(DN47/$DN$47)*100</f>
        <v>100</v>
      </c>
      <c r="DT47" s="62">
        <v>9</v>
      </c>
      <c r="DU47" s="107">
        <f t="shared" si="37"/>
        <v>1278355.6319132326</v>
      </c>
      <c r="DV47" s="107">
        <f t="shared" si="38"/>
        <v>1080086.344131388</v>
      </c>
      <c r="DW47" s="107">
        <f t="shared" si="38"/>
        <v>8576.77500838493</v>
      </c>
      <c r="DX47" s="107">
        <f t="shared" si="38"/>
        <v>8970.606513871993</v>
      </c>
      <c r="DY47" s="107">
        <f t="shared" si="38"/>
        <v>4813.496178175217</v>
      </c>
      <c r="DZ47" s="10">
        <f t="shared" si="38"/>
        <v>113754.44592263774</v>
      </c>
      <c r="EA47" s="79">
        <f t="shared" si="39"/>
        <v>289662.8560040503</v>
      </c>
      <c r="EB47" s="81"/>
      <c r="EC47" s="75"/>
      <c r="ED47" s="81"/>
      <c r="EE47" s="81"/>
      <c r="EF47" s="81"/>
      <c r="EG47" s="81"/>
      <c r="EH47" s="62">
        <v>10</v>
      </c>
      <c r="EI47" s="107">
        <v>0</v>
      </c>
      <c r="EJ47" s="107">
        <v>0</v>
      </c>
      <c r="EK47" s="107">
        <v>0</v>
      </c>
      <c r="EL47" s="107">
        <f>IF($H$97&lt;$EH42,0,-PPMT($I$97,$EH42,$H$97,($EK$14*$I$83),0,0))</f>
        <v>11498.401171230556</v>
      </c>
      <c r="EM47" s="107">
        <f>IF($H$97&lt;$EH42,0,-IPMT($I$97,$EH42,$H$97,($EK$14*$I$83),0,0))</f>
        <v>1034.856105410753</v>
      </c>
      <c r="EN47" s="107">
        <f t="shared" si="52"/>
        <v>12533.257276641309</v>
      </c>
      <c r="EO47" s="107">
        <v>0</v>
      </c>
      <c r="EP47" s="107">
        <v>0</v>
      </c>
      <c r="EQ47" s="107">
        <v>0</v>
      </c>
      <c r="ER47" s="107">
        <v>0</v>
      </c>
      <c r="ES47" s="107">
        <v>0</v>
      </c>
      <c r="ET47" s="107">
        <v>0</v>
      </c>
      <c r="EU47" s="107">
        <v>0</v>
      </c>
      <c r="EV47" s="107">
        <v>0</v>
      </c>
      <c r="EW47" s="107">
        <v>0</v>
      </c>
      <c r="EX47" s="107">
        <v>0</v>
      </c>
      <c r="EY47" s="107">
        <v>0</v>
      </c>
      <c r="EZ47" s="107">
        <v>0</v>
      </c>
      <c r="FA47" s="107">
        <v>0</v>
      </c>
      <c r="FB47" s="107">
        <v>0</v>
      </c>
      <c r="FC47" s="107">
        <v>0</v>
      </c>
      <c r="FD47" s="107">
        <f>IF($H$103&lt;$EH42,0,-PPMT($I$103,$EH42,$H$103,($EW$14*$I$89),0,0))</f>
        <v>41341.17467256279</v>
      </c>
      <c r="FE47" s="107">
        <f>IF($H$103&lt;$EH42,0,-IPMT($I$103,$EH42,$H$103,($EW$14*$I$89),0,0))</f>
        <v>3720.7057205306573</v>
      </c>
      <c r="FF47" s="79">
        <f t="shared" si="53"/>
        <v>45061.880393093445</v>
      </c>
      <c r="FH47" s="62">
        <v>10</v>
      </c>
      <c r="FI47" s="107">
        <f t="shared" si="40"/>
        <v>28</v>
      </c>
      <c r="FJ47" s="107">
        <v>0</v>
      </c>
      <c r="FK47" s="107">
        <v>0</v>
      </c>
      <c r="FL47" s="107">
        <v>0</v>
      </c>
      <c r="FM47" s="107">
        <v>0</v>
      </c>
      <c r="FN47" s="107">
        <v>0</v>
      </c>
      <c r="FO47" s="107">
        <v>0</v>
      </c>
      <c r="FP47" s="107">
        <f t="shared" si="32"/>
        <v>0</v>
      </c>
      <c r="FQ47" s="107">
        <f t="shared" si="33"/>
        <v>0</v>
      </c>
      <c r="FR47" s="107">
        <v>0</v>
      </c>
      <c r="FS47" s="107">
        <v>0</v>
      </c>
      <c r="FT47" s="107">
        <f t="shared" si="43"/>
        <v>15</v>
      </c>
      <c r="FU47" s="107">
        <v>0</v>
      </c>
      <c r="FV47" s="107">
        <v>0</v>
      </c>
      <c r="FW47" s="107">
        <v>0</v>
      </c>
      <c r="FX47" s="107">
        <v>0</v>
      </c>
      <c r="FY47" s="107">
        <f t="shared" si="41"/>
        <v>0</v>
      </c>
      <c r="FZ47" s="107">
        <f t="shared" si="42"/>
        <v>0</v>
      </c>
      <c r="GA47" s="107">
        <f t="shared" si="46"/>
        <v>22</v>
      </c>
      <c r="GB47" s="107">
        <v>0</v>
      </c>
      <c r="GC47" s="107">
        <v>0</v>
      </c>
      <c r="GD47" s="107">
        <v>0</v>
      </c>
      <c r="GE47" s="107">
        <v>0</v>
      </c>
      <c r="GF47" s="107">
        <f t="shared" si="44"/>
        <v>0</v>
      </c>
      <c r="GG47" s="107">
        <f t="shared" si="45"/>
        <v>0</v>
      </c>
      <c r="GH47" s="107">
        <f t="shared" si="49"/>
        <v>34</v>
      </c>
      <c r="GI47" s="107">
        <v>0</v>
      </c>
      <c r="GJ47" s="107">
        <v>0</v>
      </c>
      <c r="GK47" s="107">
        <v>0</v>
      </c>
      <c r="GL47" s="107">
        <v>0</v>
      </c>
      <c r="GM47" s="107">
        <f t="shared" si="47"/>
        <v>0</v>
      </c>
      <c r="GN47" s="107">
        <f t="shared" si="48"/>
        <v>0</v>
      </c>
      <c r="GO47" s="107">
        <f t="shared" si="54"/>
        <v>51</v>
      </c>
      <c r="GP47" s="107">
        <v>0</v>
      </c>
      <c r="GQ47" s="107">
        <v>0</v>
      </c>
      <c r="GR47" s="107">
        <v>0</v>
      </c>
      <c r="GS47" s="107">
        <v>0</v>
      </c>
      <c r="GT47" s="107">
        <f t="shared" si="50"/>
        <v>540</v>
      </c>
      <c r="GU47" s="107">
        <f t="shared" si="51"/>
        <v>0</v>
      </c>
      <c r="GV47" s="107">
        <f t="shared" si="72"/>
        <v>77</v>
      </c>
      <c r="GW47" s="107">
        <v>0</v>
      </c>
      <c r="GX47" s="107">
        <v>0</v>
      </c>
      <c r="GY47" s="107">
        <v>0</v>
      </c>
      <c r="GZ47" s="107">
        <v>0</v>
      </c>
      <c r="HA47" s="107">
        <f t="shared" si="55"/>
        <v>540</v>
      </c>
      <c r="HB47" s="107">
        <f t="shared" si="56"/>
        <v>0</v>
      </c>
      <c r="HC47" s="107">
        <f t="shared" si="75"/>
        <v>117</v>
      </c>
      <c r="HD47" s="107">
        <v>0</v>
      </c>
      <c r="HE47" s="107">
        <v>0</v>
      </c>
      <c r="HF47" s="107">
        <v>0</v>
      </c>
      <c r="HG47" s="107">
        <v>0</v>
      </c>
      <c r="HH47" s="107">
        <f t="shared" si="73"/>
        <v>540</v>
      </c>
      <c r="HI47" s="107">
        <f t="shared" si="74"/>
        <v>0</v>
      </c>
      <c r="HJ47" s="107">
        <f t="shared" si="78"/>
        <v>178</v>
      </c>
      <c r="HK47" s="107">
        <f>IF($H$120="yes",HJ47*$FR$40,0)</f>
        <v>0</v>
      </c>
      <c r="HL47" s="107">
        <f>IF($H$120="no",HJ47*$FS$40,0)</f>
        <v>43313.333333333336</v>
      </c>
      <c r="HM47" s="107">
        <v>0</v>
      </c>
      <c r="HN47" s="107">
        <v>0</v>
      </c>
      <c r="HO47" s="107">
        <f t="shared" si="76"/>
        <v>1080</v>
      </c>
      <c r="HP47" s="107">
        <f t="shared" si="77"/>
        <v>0</v>
      </c>
      <c r="HQ47" s="107">
        <f aca="true" t="shared" si="88" ref="HQ47:HQ55">ROUND(HQ46-($I$17+$I$20)*HQ46,0)</f>
        <v>269</v>
      </c>
      <c r="HR47" s="107">
        <f>IF($H$120="yes",HQ47*$FR$39,0)</f>
        <v>0</v>
      </c>
      <c r="HS47" s="107">
        <f>IF($H$120="no",HQ47*$FS$39,0)</f>
        <v>130913.33333333334</v>
      </c>
      <c r="HT47" s="107">
        <f>IF($H$120="yes",ROUND($I$17*HQ47,0)*($FR$40),ROUND($I$17*HQ47,0)*($FS$40))</f>
        <v>21656.666666666668</v>
      </c>
      <c r="HU47" s="107">
        <f>IF($H$120="yes",ROUND($I$20*HQ47,0)*($FR$40),ROUND($I$20*HQ47,0)*($FS$40))</f>
        <v>730</v>
      </c>
      <c r="HV47" s="107">
        <f t="shared" si="79"/>
        <v>1620</v>
      </c>
      <c r="HW47" s="107">
        <f t="shared" si="80"/>
        <v>0</v>
      </c>
      <c r="HX47" s="107">
        <f>ROUND($I$7*($I$17+$I$20),0)</f>
        <v>408</v>
      </c>
      <c r="HY47" s="107">
        <f>IF($H$120="yes",HX47*$FR$38,0)</f>
        <v>0</v>
      </c>
      <c r="HZ47" s="107">
        <f>IF($H$120="no",HX47*$FS$38,0)</f>
        <v>297840</v>
      </c>
      <c r="IA47" s="107">
        <f>IF($H$120="yes",ROUND($I$17*HX47,0)*($FR$39+$FR$40),ROUND($I$17*HX47,0)*($FS$39+$FS$40))</f>
        <v>98550</v>
      </c>
      <c r="IB47" s="107">
        <f>IF($H$120="yes",ROUND($I$20*HX47,0)*($FR$39+$FR$40),ROUND($I$20*HX47,0)*($FS$39+$FS$40))</f>
        <v>2920</v>
      </c>
      <c r="IC47" s="107">
        <f aca="true" t="shared" si="89" ref="IC47:IC56">IF($H$117="no",ROUND($I$20*HX47,0)*($I$18*$I$19),0)</f>
        <v>2160</v>
      </c>
      <c r="ID47" s="107">
        <f aca="true" t="shared" si="90" ref="ID47:ID56">IF($H$117="yes",ROUND(HX47*$I$17,0)*$I$18*$I$19,0)</f>
        <v>0</v>
      </c>
      <c r="IE47" s="107">
        <v>0</v>
      </c>
      <c r="IF47" s="107">
        <v>0</v>
      </c>
      <c r="IG47" s="107">
        <v>0</v>
      </c>
      <c r="IH47" s="107">
        <v>0</v>
      </c>
      <c r="II47" s="107">
        <v>0</v>
      </c>
      <c r="IJ47" s="107">
        <v>0</v>
      </c>
      <c r="IK47" s="107">
        <v>0</v>
      </c>
      <c r="IL47" s="107">
        <f t="shared" si="34"/>
        <v>472066.6666666667</v>
      </c>
      <c r="IM47" s="107">
        <f t="shared" si="35"/>
        <v>123856.66666666667</v>
      </c>
      <c r="IN47" s="107">
        <f t="shared" si="36"/>
        <v>6480</v>
      </c>
      <c r="IO47" s="27">
        <f t="shared" si="36"/>
        <v>0</v>
      </c>
    </row>
    <row r="48" spans="1:249" ht="15.75">
      <c r="A48" s="1" t="s">
        <v>268</v>
      </c>
      <c r="B48" s="418"/>
      <c r="C48" s="425"/>
      <c r="D48" s="376"/>
      <c r="E48" s="368"/>
      <c r="G48" s="396" t="s">
        <v>269</v>
      </c>
      <c r="H48" s="440"/>
      <c r="I48" s="500">
        <v>6</v>
      </c>
      <c r="J48" s="203"/>
      <c r="K48" s="206" t="s">
        <v>270</v>
      </c>
      <c r="L48" s="113"/>
      <c r="M48" s="113"/>
      <c r="N48" s="113"/>
      <c r="O48" s="152"/>
      <c r="P48" s="152"/>
      <c r="Q48" s="81"/>
      <c r="R48" s="81"/>
      <c r="S48" s="48" t="s">
        <v>271</v>
      </c>
      <c r="T48" s="49">
        <f>T36+T47</f>
        <v>4458236.375515083</v>
      </c>
      <c r="U48" s="164">
        <f t="shared" si="57"/>
        <v>3715.1969795959026</v>
      </c>
      <c r="V48" s="174">
        <f t="shared" si="58"/>
        <v>19.249725282880323</v>
      </c>
      <c r="W48" s="179">
        <f t="shared" si="59"/>
        <v>114.09762598449944</v>
      </c>
      <c r="X48" s="179"/>
      <c r="Y48" s="49">
        <f>Y36+Y47</f>
        <v>4467287.907913785</v>
      </c>
      <c r="Z48" s="164">
        <f>Y48/$I$7</f>
        <v>3722.739923261488</v>
      </c>
      <c r="AA48" s="174">
        <f>IF($I$14="no",Y48/(($I$7*$I$10)/100),Y48/$Y$1)</f>
        <v>19.097829596580763</v>
      </c>
      <c r="AB48" s="179">
        <f>(Y48/$Y$13)*100</f>
        <v>113.2818191130396</v>
      </c>
      <c r="AC48" s="179"/>
      <c r="AD48" s="49">
        <f>AD36+AD47</f>
        <v>4476451.071087045</v>
      </c>
      <c r="AE48" s="164">
        <f>AD48/$I$7</f>
        <v>3730.3758925725374</v>
      </c>
      <c r="AF48" s="174">
        <f>IF($I$14="no",AD48/(($I$7*$I$10)/100),AD48/$AD$1)</f>
        <v>18.947527203583807</v>
      </c>
      <c r="AG48" s="179">
        <f>(AD48/$AD$13)*100</f>
        <v>112.47341903800148</v>
      </c>
      <c r="AH48" s="179"/>
      <c r="AI48" s="49">
        <f>AI36+AI47</f>
        <v>4485727.087445119</v>
      </c>
      <c r="AJ48" s="164">
        <f>AI48/$I$7</f>
        <v>3738.1059062042664</v>
      </c>
      <c r="AK48" s="174">
        <f>IF($I$14="no",AI48/(($I$7*$I$10)/100),AI48/$AI$1)</f>
        <v>18.79880188845596</v>
      </c>
      <c r="AL48" s="179">
        <f>(AI48/$AI$13)*100</f>
        <v>111.67237202249835</v>
      </c>
      <c r="AM48" s="179"/>
      <c r="AN48" s="49">
        <f>AN36+AN47</f>
        <v>4495117.192683395</v>
      </c>
      <c r="AO48" s="164">
        <f t="shared" si="60"/>
        <v>3745.930993902829</v>
      </c>
      <c r="AP48" s="174">
        <f t="shared" si="61"/>
        <v>18.651637600671496</v>
      </c>
      <c r="AQ48" s="179">
        <f t="shared" si="62"/>
        <v>110.87862451126264</v>
      </c>
      <c r="AR48" s="179"/>
      <c r="AS48" s="48" t="s">
        <v>271</v>
      </c>
      <c r="AT48" s="49">
        <f>AT36+AT47</f>
        <v>3996501.2476096824</v>
      </c>
      <c r="AU48" s="164">
        <f>AT48/$I$7</f>
        <v>3330.417706341402</v>
      </c>
      <c r="AV48" s="174">
        <f>IF($I$14="no",AT48/(($I$7*$I$10)/100),AT48/$AT$1)</f>
        <v>16.41853975638245</v>
      </c>
      <c r="AW48" s="179">
        <f>(AT48/$AT$13)*100</f>
        <v>97.67373274492405</v>
      </c>
      <c r="AX48" s="179"/>
      <c r="AY48" s="49">
        <f>AY36+AY47</f>
        <v>4006058.6634096466</v>
      </c>
      <c r="AZ48" s="164">
        <f>AY48/$I$7</f>
        <v>3338.382219508039</v>
      </c>
      <c r="BA48" s="174">
        <f>IF($I$14="no",AY48/(($I$7*$I$10)/100),AY48/$AY$1)</f>
        <v>16.294855250491768</v>
      </c>
      <c r="BB48" s="179">
        <f>(AY48/$AY$13)*100</f>
        <v>97.0070475676194</v>
      </c>
      <c r="BC48" s="179"/>
      <c r="BD48" s="49">
        <f>BD36+BD47</f>
        <v>4015787.432992573</v>
      </c>
      <c r="BE48" s="164">
        <f>BD48/$I$7</f>
        <v>3346.489527493811</v>
      </c>
      <c r="BF48" s="174">
        <f>IF($I$14="no",BD48/(($I$7*$I$10)/100),BD48/$BD$1)</f>
        <v>16.17270052943952</v>
      </c>
      <c r="BG48" s="179">
        <f>(BD48/$BD$13)*100</f>
        <v>96.34784413089528</v>
      </c>
      <c r="BH48" s="179"/>
      <c r="BI48" s="49">
        <f>BI36+BI47</f>
        <v>4025635.2584661553</v>
      </c>
      <c r="BJ48" s="164">
        <f>BI48/$I$7</f>
        <v>3354.696048721796</v>
      </c>
      <c r="BK48" s="174">
        <f>IF($I$14="no",BI48/(($I$7*$I$10)/100),BI48/$BI$1)</f>
        <v>16.051842059700952</v>
      </c>
      <c r="BL48" s="179">
        <f>(BI48/$BI$13)*100</f>
        <v>95.6947667434205</v>
      </c>
      <c r="BM48" s="179"/>
      <c r="BN48" s="49">
        <f>BN36+BN47</f>
        <v>4035603.443019255</v>
      </c>
      <c r="BO48" s="164">
        <f t="shared" si="63"/>
        <v>3363.0028691827124</v>
      </c>
      <c r="BP48" s="174">
        <f t="shared" si="64"/>
        <v>15.932266592367071</v>
      </c>
      <c r="BQ48" s="179">
        <f t="shared" si="65"/>
        <v>95.04776955040501</v>
      </c>
      <c r="BR48" s="179"/>
      <c r="BS48" s="48" t="s">
        <v>271</v>
      </c>
      <c r="BT48" s="49">
        <f>BT36+BT47</f>
        <v>4091278.471301811</v>
      </c>
      <c r="BU48" s="164">
        <f>BT48/$I$7</f>
        <v>3409.3987260848426</v>
      </c>
      <c r="BV48" s="174">
        <f>IF($I$14="no",BT48/(($I$7*$I$10)/100),BT48/$BT$1)</f>
        <v>15.992146062546547</v>
      </c>
      <c r="BW48" s="179">
        <f>(BT48/$BT$13)*100</f>
        <v>95.47054299539329</v>
      </c>
      <c r="BX48" s="179"/>
      <c r="BY48" s="49">
        <f>BY36+BY47</f>
        <v>4101491.3403661298</v>
      </c>
      <c r="BZ48" s="164">
        <f>BY48/$I$7</f>
        <v>3417.9094503051083</v>
      </c>
      <c r="CA48" s="174">
        <f>IF($I$14="no",BY48/(($I$7*$I$10)/100),BY48/$BY$1)</f>
        <v>15.873333184646183</v>
      </c>
      <c r="CB48" s="179">
        <f>(BY48/$BY$13)*100</f>
        <v>94.82575424154251</v>
      </c>
      <c r="CC48" s="179"/>
      <c r="CD48" s="49">
        <f>CD36+CD47</f>
        <v>4111828.563638703</v>
      </c>
      <c r="CE48" s="164">
        <f>CD48/$I$7</f>
        <v>3426.5238030322525</v>
      </c>
      <c r="CF48" s="174">
        <f>IF($I$14="no",CD48/(($I$7*$I$10)/100),CD48/$CD$1)</f>
        <v>15.755781836028916</v>
      </c>
      <c r="CG48" s="179">
        <f>(CD48/$CD$13)*100</f>
        <v>94.18699322125951</v>
      </c>
      <c r="CH48" s="179"/>
      <c r="CI48" s="49">
        <f>CI36+CI47</f>
        <v>4122291.5018647937</v>
      </c>
      <c r="CJ48" s="164">
        <f>CI48/$I$7</f>
        <v>3435.2429182206615</v>
      </c>
      <c r="CK48" s="174">
        <f>IF($I$14="no",CI48/(($I$7*$I$10)/100),CI48/$CI$1)</f>
        <v>15.639479127751152</v>
      </c>
      <c r="CL48" s="179">
        <f>(CI48/$CI$13)*100</f>
        <v>93.55421422155418</v>
      </c>
      <c r="CM48" s="179"/>
      <c r="CN48" s="49">
        <f>CN36+CN47</f>
        <v>4132881.530569155</v>
      </c>
      <c r="CO48" s="164">
        <f t="shared" si="66"/>
        <v>3444.0679421409623</v>
      </c>
      <c r="CP48" s="174">
        <f t="shared" si="67"/>
        <v>15.52441230242869</v>
      </c>
      <c r="CQ48" s="179">
        <f t="shared" si="68"/>
        <v>92.92737172250985</v>
      </c>
      <c r="CR48" s="179"/>
      <c r="CS48" s="48" t="s">
        <v>271</v>
      </c>
      <c r="CT48" s="49">
        <f>CT36+CT47</f>
        <v>4143600.040215534</v>
      </c>
      <c r="CU48" s="164">
        <f>CT48/$I$7</f>
        <v>3453.0000335129453</v>
      </c>
      <c r="CV48" s="174">
        <f>IF($I$14="no",CT48/(($I$7*$I$10)/100),CT48/$CT$1)</f>
        <v>15.41056873289508</v>
      </c>
      <c r="CW48" s="179">
        <f>(CT48/$CT$13)*100</f>
        <v>92.30642039957266</v>
      </c>
      <c r="CX48" s="179"/>
      <c r="CY48" s="49">
        <f>CY36+CY47</f>
        <v>4154448.4363679094</v>
      </c>
      <c r="CZ48" s="164">
        <f>CY48/$I$7</f>
        <v>3462.0403636399246</v>
      </c>
      <c r="DA48" s="174">
        <f>IF($I$14="no",CY48/(($I$7*$I$10)/100),CY48/$CY$1)</f>
        <v>15.297935920873643</v>
      </c>
      <c r="DB48" s="179">
        <f>(CY48/$CY$13)*100</f>
        <v>91.69131512576364</v>
      </c>
      <c r="DC48" s="179"/>
      <c r="DD48" s="49">
        <f>DD36+DD47</f>
        <v>4165428.1398534444</v>
      </c>
      <c r="DE48" s="164">
        <f>DD48/$I$7</f>
        <v>3471.190116544537</v>
      </c>
      <c r="DF48" s="174">
        <f>IF($I$14="no",DD48/(($I$7*$I$10)/100),DD48/$DD$1)</f>
        <v>15.186501495663059</v>
      </c>
      <c r="DG48" s="179">
        <f>(DD48/$DD$13)*100</f>
        <v>91.08201097381475</v>
      </c>
      <c r="DH48" s="179"/>
      <c r="DI48" s="49">
        <f>DI36+DI47</f>
        <v>4176540.5869271923</v>
      </c>
      <c r="DJ48" s="164">
        <f>DI48/$I$7</f>
        <v>3480.4504891059937</v>
      </c>
      <c r="DK48" s="174">
        <f>IF($I$14="no",DI48/(($I$7*$I$10)/100),DI48/$DI$1)</f>
        <v>15.076253212836303</v>
      </c>
      <c r="DL48" s="179">
        <f>(DI48/$DI$13)*100</f>
        <v>90.47846321822918</v>
      </c>
      <c r="DM48" s="179"/>
      <c r="DN48" s="92">
        <f>DN36+DN47</f>
        <v>4187787.229438577</v>
      </c>
      <c r="DO48" s="164">
        <f t="shared" si="69"/>
        <v>3489.822691198814</v>
      </c>
      <c r="DP48" s="174">
        <f t="shared" si="70"/>
        <v>14.967178952952866</v>
      </c>
      <c r="DQ48" s="179">
        <f t="shared" si="71"/>
        <v>89.88062733726807</v>
      </c>
      <c r="DR48" s="188"/>
      <c r="DT48" s="62">
        <v>10</v>
      </c>
      <c r="DU48" s="107">
        <f t="shared" si="37"/>
        <v>1183710.5275890012</v>
      </c>
      <c r="DV48" s="107">
        <f t="shared" si="38"/>
        <v>993683.9443338705</v>
      </c>
      <c r="DW48" s="107">
        <f t="shared" si="38"/>
        <v>7868.600925123788</v>
      </c>
      <c r="DX48" s="107">
        <f t="shared" si="38"/>
        <v>8229.914232910085</v>
      </c>
      <c r="DY48" s="107">
        <f t="shared" si="38"/>
        <v>4416.05153961029</v>
      </c>
      <c r="DZ48" s="10">
        <f t="shared" si="38"/>
        <v>101008.70750705276</v>
      </c>
      <c r="EA48" s="79">
        <f t="shared" si="39"/>
        <v>270520.7240645392</v>
      </c>
      <c r="EB48" s="81"/>
      <c r="EC48" s="75"/>
      <c r="ED48" s="81"/>
      <c r="EE48" s="81"/>
      <c r="EF48" s="81"/>
      <c r="EG48" s="81"/>
      <c r="EH48" s="62">
        <v>11</v>
      </c>
      <c r="EI48" s="107">
        <f aca="true" t="shared" si="91" ref="EI48:EI57">IF($H$96&lt;$EH38,0,-PPMT($I$96,$EH38,$H$96,($EI$19*$I$82),0,0))</f>
        <v>2617.9940761318167</v>
      </c>
      <c r="EJ48" s="107">
        <f aca="true" t="shared" si="92" ref="EJ48:EJ57">IF($H$96&lt;$EH38,0,-IPMT($I$96,$EH38,$H$96,($EI$19*$I$82),0,0))</f>
        <v>3579.75</v>
      </c>
      <c r="EK48" s="107">
        <f aca="true" t="shared" si="93" ref="EK48:EK57">EJ48+EI48</f>
        <v>6197.744076131817</v>
      </c>
      <c r="EL48" s="107">
        <f>IF($H$97&lt;$EH38,0,-PPMT($I$97,$EH38,$H$97,($EK$14*$I$83),0,0))</f>
        <v>8145.757276641309</v>
      </c>
      <c r="EM48" s="107">
        <f>IF($H$97&lt;$EH38,0,-IPMT($I$97,$EH38,$H$97,($EK$14*$I$83),0,0))</f>
        <v>4387.5</v>
      </c>
      <c r="EN48" s="107">
        <f t="shared" si="52"/>
        <v>12533.257276641309</v>
      </c>
      <c r="EO48" s="107">
        <f aca="true" t="shared" si="94" ref="EO48:EO57">IF($H$98&lt;$EH38,0,-PPMT($I$98,$EH38,$H$98,($EM$19*$I$84),0,0))</f>
        <v>5683.564763645061</v>
      </c>
      <c r="EP48" s="107">
        <f aca="true" t="shared" si="95" ref="EP48:EP57">IF($H$98&lt;$EH38,0,-IPMT($I$98,$EH38,$H$98,($EM$19*$I$84),0,0))</f>
        <v>7771.5</v>
      </c>
      <c r="EQ48" s="107">
        <f aca="true" t="shared" si="96" ref="EQ48:EQ57">EP48+EO48</f>
        <v>13455.064763645061</v>
      </c>
      <c r="ER48" s="107">
        <f aca="true" t="shared" si="97" ref="ER48:ER57">IF($H$99&lt;$EH38,0,-PPMT($I$99,$EH38,$H$99,($EO$19*$I$85),0,0))</f>
        <v>799.7140923947597</v>
      </c>
      <c r="ES48" s="107">
        <f aca="true" t="shared" si="98" ref="ES48:ES57">IF($H$99&lt;$EH38,0,-IPMT($I$99,$EH38,$H$99,($EO$19*$I$85),0,0))</f>
        <v>1093.5</v>
      </c>
      <c r="ET48" s="107">
        <f aca="true" t="shared" si="99" ref="ET48:ET57">ES48+ER48</f>
        <v>1893.2140923947597</v>
      </c>
      <c r="EU48" s="107">
        <f aca="true" t="shared" si="100" ref="EU48:EU57">IF($H$100&lt;$EH38,0,-PPMT($I$100,$EH38,$H$100,($EQ$19*$I$86),0,0))</f>
        <v>7404.760114766294</v>
      </c>
      <c r="EV48" s="107">
        <f aca="true" t="shared" si="101" ref="EV48:EV57">IF($H$100&lt;$EH38,0,-IPMT($I$100,$EH38,$H$100,($EQ$19*$I$86),0,0))</f>
        <v>10125</v>
      </c>
      <c r="EW48" s="107">
        <f aca="true" t="shared" si="102" ref="EW48:EW57">EV48+EU48</f>
        <v>17529.760114766294</v>
      </c>
      <c r="EX48" s="107">
        <f aca="true" t="shared" si="103" ref="EX48:EX57">IF($H$101&lt;$EH38,0,-PPMT($I$101,$EH38,$H$101,($ES$19*$I$87),0,0))</f>
        <v>1332.8568206579325</v>
      </c>
      <c r="EY48" s="107">
        <f aca="true" t="shared" si="104" ref="EY48:EY57">IF($H$101&lt;$EH38,0,-IPMT($I$101,$EH38,$H$101,($ES$19*$I$87),0,0))</f>
        <v>1822.5</v>
      </c>
      <c r="EZ48" s="107">
        <f aca="true" t="shared" si="105" ref="EZ48:EZ57">EY48+EX48</f>
        <v>3155.3568206579325</v>
      </c>
      <c r="FA48" s="107">
        <f aca="true" t="shared" si="106" ref="FA48:FA57">IF($H$102&lt;$EH38,0,-PPMT($I$102,$EH38,$H$102,($EU$19*$I$88),0,0))</f>
        <v>1416.777435291951</v>
      </c>
      <c r="FB48" s="107">
        <f aca="true" t="shared" si="107" ref="FB48:FB57">IF($H$102&lt;$EH38,0,-IPMT($I$102,$EH38,$H$102,($EU$19*$I$88),0,0))</f>
        <v>1937.25</v>
      </c>
      <c r="FC48" s="107">
        <f aca="true" t="shared" si="108" ref="FC48:FC57">FB48+FA48</f>
        <v>3354.027435291951</v>
      </c>
      <c r="FD48" s="107">
        <f>IF($H$103&lt;$EH38,0,-PPMT($I$103,$EH38,$H$103,($EW$14*$I$89),0,0))</f>
        <v>29287.130393093445</v>
      </c>
      <c r="FE48" s="107">
        <f>IF($H$103&lt;$EH38,0,-IPMT($I$103,$EH38,$H$103,($EW$14*$I$89),0,0))</f>
        <v>15774.75</v>
      </c>
      <c r="FF48" s="79">
        <f t="shared" si="53"/>
        <v>45061.880393093445</v>
      </c>
      <c r="FH48" s="62">
        <v>11</v>
      </c>
      <c r="FI48" s="107">
        <v>0</v>
      </c>
      <c r="FJ48" s="107">
        <v>0</v>
      </c>
      <c r="FK48" s="107">
        <v>0</v>
      </c>
      <c r="FL48" s="107">
        <v>0</v>
      </c>
      <c r="FM48" s="107">
        <v>0</v>
      </c>
      <c r="FN48" s="107">
        <v>0</v>
      </c>
      <c r="FO48" s="107">
        <v>0</v>
      </c>
      <c r="FP48" s="107">
        <v>0</v>
      </c>
      <c r="FQ48" s="107">
        <v>0</v>
      </c>
      <c r="FR48" s="107">
        <v>0</v>
      </c>
      <c r="FS48" s="107">
        <v>0</v>
      </c>
      <c r="FT48" s="107">
        <f t="shared" si="43"/>
        <v>10</v>
      </c>
      <c r="FU48" s="107">
        <v>0</v>
      </c>
      <c r="FV48" s="107">
        <v>0</v>
      </c>
      <c r="FW48" s="107">
        <v>0</v>
      </c>
      <c r="FX48" s="107">
        <v>0</v>
      </c>
      <c r="FY48" s="107">
        <f t="shared" si="41"/>
        <v>0</v>
      </c>
      <c r="FZ48" s="107">
        <f t="shared" si="42"/>
        <v>0</v>
      </c>
      <c r="GA48" s="107">
        <f t="shared" si="46"/>
        <v>15</v>
      </c>
      <c r="GB48" s="107">
        <v>0</v>
      </c>
      <c r="GC48" s="107">
        <v>0</v>
      </c>
      <c r="GD48" s="107">
        <v>0</v>
      </c>
      <c r="GE48" s="107">
        <v>0</v>
      </c>
      <c r="GF48" s="107">
        <f t="shared" si="44"/>
        <v>0</v>
      </c>
      <c r="GG48" s="107">
        <f t="shared" si="45"/>
        <v>0</v>
      </c>
      <c r="GH48" s="107">
        <f t="shared" si="49"/>
        <v>22</v>
      </c>
      <c r="GI48" s="107">
        <v>0</v>
      </c>
      <c r="GJ48" s="107">
        <v>0</v>
      </c>
      <c r="GK48" s="107">
        <v>0</v>
      </c>
      <c r="GL48" s="107">
        <v>0</v>
      </c>
      <c r="GM48" s="107">
        <f t="shared" si="47"/>
        <v>0</v>
      </c>
      <c r="GN48" s="107">
        <f t="shared" si="48"/>
        <v>0</v>
      </c>
      <c r="GO48" s="107">
        <f t="shared" si="54"/>
        <v>34</v>
      </c>
      <c r="GP48" s="107">
        <v>0</v>
      </c>
      <c r="GQ48" s="107">
        <v>0</v>
      </c>
      <c r="GR48" s="107">
        <v>0</v>
      </c>
      <c r="GS48" s="107">
        <v>0</v>
      </c>
      <c r="GT48" s="107">
        <f t="shared" si="50"/>
        <v>0</v>
      </c>
      <c r="GU48" s="107">
        <f t="shared" si="51"/>
        <v>0</v>
      </c>
      <c r="GV48" s="107">
        <f t="shared" si="72"/>
        <v>51</v>
      </c>
      <c r="GW48" s="107">
        <v>0</v>
      </c>
      <c r="GX48" s="107">
        <v>0</v>
      </c>
      <c r="GY48" s="107">
        <v>0</v>
      </c>
      <c r="GZ48" s="107">
        <v>0</v>
      </c>
      <c r="HA48" s="107">
        <f t="shared" si="55"/>
        <v>540</v>
      </c>
      <c r="HB48" s="107">
        <f t="shared" si="56"/>
        <v>0</v>
      </c>
      <c r="HC48" s="107">
        <f t="shared" si="75"/>
        <v>77</v>
      </c>
      <c r="HD48" s="107">
        <v>0</v>
      </c>
      <c r="HE48" s="107">
        <v>0</v>
      </c>
      <c r="HF48" s="107">
        <v>0</v>
      </c>
      <c r="HG48" s="107">
        <v>0</v>
      </c>
      <c r="HH48" s="107">
        <f t="shared" si="73"/>
        <v>540</v>
      </c>
      <c r="HI48" s="107">
        <f t="shared" si="74"/>
        <v>0</v>
      </c>
      <c r="HJ48" s="107">
        <f t="shared" si="78"/>
        <v>117</v>
      </c>
      <c r="HK48" s="107">
        <v>0</v>
      </c>
      <c r="HL48" s="107">
        <v>0</v>
      </c>
      <c r="HM48" s="107">
        <v>0</v>
      </c>
      <c r="HN48" s="107">
        <v>0</v>
      </c>
      <c r="HO48" s="107">
        <f t="shared" si="76"/>
        <v>540</v>
      </c>
      <c r="HP48" s="107">
        <f t="shared" si="77"/>
        <v>0</v>
      </c>
      <c r="HQ48" s="107">
        <f t="shared" si="88"/>
        <v>178</v>
      </c>
      <c r="HR48" s="107">
        <f>IF($H$120="yes",HQ48*$FR$40,0)</f>
        <v>0</v>
      </c>
      <c r="HS48" s="107">
        <f>IF($H$120="no",HQ48*$FS$40,0)</f>
        <v>43313.333333333336</v>
      </c>
      <c r="HT48" s="107">
        <v>0</v>
      </c>
      <c r="HU48" s="107">
        <v>0</v>
      </c>
      <c r="HV48" s="107">
        <f t="shared" si="79"/>
        <v>1080</v>
      </c>
      <c r="HW48" s="107">
        <f t="shared" si="80"/>
        <v>0</v>
      </c>
      <c r="HX48" s="107">
        <f aca="true" t="shared" si="109" ref="HX48:HX56">ROUND(HX47-($I$17+$I$20)*HX47,0)</f>
        <v>269</v>
      </c>
      <c r="HY48" s="107">
        <f>IF($H$120="yes",HX48*$FR$39,0)</f>
        <v>0</v>
      </c>
      <c r="HZ48" s="107">
        <f>IF($H$120="no",HX48*$FS$39,0)</f>
        <v>130913.33333333334</v>
      </c>
      <c r="IA48" s="107">
        <f>IF($H$120="yes",ROUND($I$17*HX48,0)*($FR$40),ROUND($I$17*HX48,0)*($FS$40))</f>
        <v>21656.666666666668</v>
      </c>
      <c r="IB48" s="107">
        <f>IF($H$120="yes",ROUND($I$20*HX48,0)*($FR$40),ROUND($I$20*HX48,0)*($FS$40))</f>
        <v>730</v>
      </c>
      <c r="IC48" s="107">
        <f t="shared" si="89"/>
        <v>1620</v>
      </c>
      <c r="ID48" s="107">
        <f t="shared" si="90"/>
        <v>0</v>
      </c>
      <c r="IE48" s="107">
        <f>ROUND($I$7*($I$17+$I$20),0)</f>
        <v>408</v>
      </c>
      <c r="IF48" s="107">
        <f>IF($H$120="yes",IE48*$FR$38,0)</f>
        <v>0</v>
      </c>
      <c r="IG48" s="107">
        <f>IF($H$120="no",IE48*$FS$38,0)</f>
        <v>297840</v>
      </c>
      <c r="IH48" s="107">
        <f>IF($H$120="yes",ROUND($I$17*IE48,0)*($FR$39+$FR$40),ROUND($I$17*IE48,0)*($FS$39+$FS$40))</f>
        <v>98550</v>
      </c>
      <c r="II48" s="107">
        <f>IF($H$120="yes",ROUND($I$20*IE48,0)*($FR$39+$FR$40),ROUND($I$20*IE48,0)*($FS$39+$FS$40))</f>
        <v>2920</v>
      </c>
      <c r="IJ48" s="107">
        <f aca="true" t="shared" si="110" ref="IJ48:IJ57">IF($H$117="no",ROUND($I$20*IE48,0)*($I$18*$I$19),0)</f>
        <v>2160</v>
      </c>
      <c r="IK48" s="107">
        <f aca="true" t="shared" si="111" ref="IK48:IK57">IF($H$117="yes",ROUND(IE48*$I$17,0)*$I$18*$I$19,0)</f>
        <v>0</v>
      </c>
      <c r="IL48" s="107">
        <f t="shared" si="34"/>
        <v>472066.6666666667</v>
      </c>
      <c r="IM48" s="107">
        <f t="shared" si="35"/>
        <v>123856.66666666667</v>
      </c>
      <c r="IN48" s="107">
        <f t="shared" si="36"/>
        <v>6480</v>
      </c>
      <c r="IO48" s="27">
        <f t="shared" si="36"/>
        <v>0</v>
      </c>
    </row>
    <row r="49" spans="1:249" ht="16.5" thickBot="1">
      <c r="A49" s="1" t="s">
        <v>272</v>
      </c>
      <c r="B49" s="418"/>
      <c r="C49" s="425"/>
      <c r="D49" s="365"/>
      <c r="E49" s="364"/>
      <c r="G49" s="42" t="s">
        <v>273</v>
      </c>
      <c r="H49" s="440"/>
      <c r="I49" s="129"/>
      <c r="J49" s="203"/>
      <c r="K49" s="253"/>
      <c r="L49" s="247"/>
      <c r="M49" s="247"/>
      <c r="N49" s="243"/>
      <c r="O49" s="247"/>
      <c r="P49" s="248" t="s">
        <v>274</v>
      </c>
      <c r="Q49" s="249"/>
      <c r="R49" s="81"/>
      <c r="S49" s="48" t="s">
        <v>275</v>
      </c>
      <c r="T49" s="49">
        <f>T13-T48</f>
        <v>-550848.8755150829</v>
      </c>
      <c r="U49" s="164">
        <f t="shared" si="57"/>
        <v>-459.04072959590235</v>
      </c>
      <c r="V49" s="174">
        <f t="shared" si="58"/>
        <v>-2.3784493761445717</v>
      </c>
      <c r="W49" s="179">
        <f t="shared" si="59"/>
        <v>-14.097625984499434</v>
      </c>
      <c r="X49" s="179"/>
      <c r="Y49" s="49">
        <f>Y13-Y48</f>
        <v>-523770.80791378533</v>
      </c>
      <c r="Z49" s="164">
        <f>Y49/$I$7</f>
        <v>-436.47567326148777</v>
      </c>
      <c r="AA49" s="174">
        <f>IF($I$14="no",Y49/(($I$7*$I$10)/100),Y49/$Y$1)</f>
        <v>-2.2391405800107105</v>
      </c>
      <c r="AB49" s="179">
        <f>(Y49/$Y$13)*100</f>
        <v>-13.281819113039608</v>
      </c>
      <c r="AC49" s="179"/>
      <c r="AD49" s="49">
        <f>AD13-AD48</f>
        <v>-496443.07508704485</v>
      </c>
      <c r="AE49" s="164">
        <f>AD49/$I$7</f>
        <v>-413.7025625725374</v>
      </c>
      <c r="AF49" s="174">
        <f>IF($I$14="no",AD49/(($I$7*$I$10)/100),AD49/$AD$1)</f>
        <v>-2.1013004545045484</v>
      </c>
      <c r="AG49" s="179">
        <f>(AD49/$AD$13)*100</f>
        <v>-12.473419038001472</v>
      </c>
      <c r="AH49" s="179"/>
      <c r="AI49" s="49">
        <f>AI13-AI48</f>
        <v>-468863.28648511926</v>
      </c>
      <c r="AJ49" s="164">
        <f>AI49/$I$7</f>
        <v>-390.71940540426607</v>
      </c>
      <c r="AK49" s="174">
        <f>IF($I$14="no",AI49/(($I$7*$I$10)/100),AI49/$AI$1)</f>
        <v>-1.9649140180804552</v>
      </c>
      <c r="AL49" s="179">
        <f>(AI49/$AI$13)*100</f>
        <v>-11.67237202249836</v>
      </c>
      <c r="AM49" s="179"/>
      <c r="AN49" s="49">
        <f>AN13-AN48</f>
        <v>-441029.0287137949</v>
      </c>
      <c r="AO49" s="164">
        <f t="shared" si="60"/>
        <v>-367.52419059482907</v>
      </c>
      <c r="AP49" s="174">
        <f t="shared" si="61"/>
        <v>-1.8299664418838708</v>
      </c>
      <c r="AQ49" s="179">
        <f t="shared" si="62"/>
        <v>-10.87862451126265</v>
      </c>
      <c r="AR49" s="179"/>
      <c r="AS49" s="48" t="s">
        <v>275</v>
      </c>
      <c r="AT49" s="49">
        <f>AT13-AT48</f>
        <v>95183.52299961355</v>
      </c>
      <c r="AU49" s="164">
        <f>AT49/$I$7</f>
        <v>79.31960249967796</v>
      </c>
      <c r="AV49" s="174">
        <f>IF($I$14="no",AT49/(($I$7*$I$10)/100),AT49/$AT$1)</f>
        <v>0.39103564835777244</v>
      </c>
      <c r="AW49" s="179">
        <f>(AT49/$AT$13)*100</f>
        <v>2.32626725507595</v>
      </c>
      <c r="AX49" s="179"/>
      <c r="AY49" s="49">
        <f>AY13-AY48</f>
        <v>123598.67990574194</v>
      </c>
      <c r="AZ49" s="164">
        <f>AY49/$I$7</f>
        <v>102.99889992145162</v>
      </c>
      <c r="BA49" s="174">
        <f>IF($I$14="no",AY49/(($I$7*$I$10)/100),AY49/$AY$1)</f>
        <v>0.502744160142116</v>
      </c>
      <c r="BB49" s="179">
        <f>(AY49/$AY$13)*100</f>
        <v>2.9929524323805987</v>
      </c>
      <c r="BC49" s="179"/>
      <c r="BD49" s="49">
        <f>BD13-BD48</f>
        <v>152222.20875597</v>
      </c>
      <c r="BE49" s="164">
        <f>BD49/$I$7</f>
        <v>126.851840629975</v>
      </c>
      <c r="BF49" s="174">
        <f>IF($I$14="no",BD49/(($I$7*$I$10)/100),BD49/$BD$1)</f>
        <v>0.6130414612870976</v>
      </c>
      <c r="BG49" s="179">
        <f>(BD49/$BD$13)*100</f>
        <v>3.6521558691047193</v>
      </c>
      <c r="BH49" s="179"/>
      <c r="BI49" s="49">
        <f>BI13-BI48</f>
        <v>181110.204699873</v>
      </c>
      <c r="BJ49" s="164">
        <f>BI49/$I$7</f>
        <v>150.9251705832275</v>
      </c>
      <c r="BK49" s="174">
        <f>IF($I$14="no",BI49/(($I$7*$I$10)/100),BI49/$BI$1)</f>
        <v>0.7221599113155005</v>
      </c>
      <c r="BL49" s="179">
        <f>(BI49/$BI$13)*100</f>
        <v>4.305233256579496</v>
      </c>
      <c r="BM49" s="179"/>
      <c r="BN49" s="49">
        <f>BN13-BN48</f>
        <v>210265.19977843296</v>
      </c>
      <c r="BO49" s="164">
        <f t="shared" si="63"/>
        <v>175.22099981536078</v>
      </c>
      <c r="BP49" s="174">
        <f t="shared" si="64"/>
        <v>0.8301115967581287</v>
      </c>
      <c r="BQ49" s="179">
        <f t="shared" si="65"/>
        <v>4.952230449594997</v>
      </c>
      <c r="BR49" s="179"/>
      <c r="BS49" s="48" t="s">
        <v>275</v>
      </c>
      <c r="BT49" s="49">
        <f>BT13-BT48</f>
        <v>194104.58292385377</v>
      </c>
      <c r="BU49" s="164">
        <f>BT49/$I$7</f>
        <v>161.75381910321147</v>
      </c>
      <c r="BV49" s="174">
        <f>IF($I$14="no",BT49/(($I$7*$I$10)/100),BT49/$BT$1)</f>
        <v>0.7587234316368188</v>
      </c>
      <c r="BW49" s="179">
        <f>(BT49/$BT$13)*100</f>
        <v>4.52945700460672</v>
      </c>
      <c r="BX49" s="179"/>
      <c r="BY49" s="49">
        <f>BY13-BY48</f>
        <v>223801.2694017915</v>
      </c>
      <c r="BZ49" s="164">
        <f>BY49/$I$7</f>
        <v>186.50105783482624</v>
      </c>
      <c r="CA49" s="174">
        <f>IF($I$14="no",BY49/(($I$7*$I$10)/100),BY49/$BY$1)</f>
        <v>0.8661415620700244</v>
      </c>
      <c r="CB49" s="179">
        <f>(BY49/$BY$13)*100</f>
        <v>5.17424575845748</v>
      </c>
      <c r="CC49" s="179"/>
      <c r="CD49" s="49">
        <f>CD13-CD48</f>
        <v>253772.6972268978</v>
      </c>
      <c r="CE49" s="164">
        <f>CD49/$I$7</f>
        <v>211.4772476890815</v>
      </c>
      <c r="CF49" s="174">
        <f>IF($I$14="no",CD49/(($I$7*$I$10)/100),CD49/$CD$1)</f>
        <v>0.9724109825019815</v>
      </c>
      <c r="CG49" s="179">
        <f>(CD49/$CD$13)*100</f>
        <v>5.813006778740493</v>
      </c>
      <c r="CH49" s="179"/>
      <c r="CI49" s="49">
        <f>CI13-CI48</f>
        <v>284021.49660946336</v>
      </c>
      <c r="CJ49" s="164">
        <f>CI49/$I$7</f>
        <v>236.68458050788612</v>
      </c>
      <c r="CK49" s="174">
        <f>IF($I$14="no",CI49/(($I$7*$I$10)/100),CI49/$CI$1)</f>
        <v>1.0775434648536986</v>
      </c>
      <c r="CL49" s="179">
        <f>(CI49/$CI$13)*100</f>
        <v>6.445785778445822</v>
      </c>
      <c r="CM49" s="179"/>
      <c r="CN49" s="49">
        <f>CN13-CN48</f>
        <v>314550.3228898458</v>
      </c>
      <c r="CO49" s="164">
        <f t="shared" si="66"/>
        <v>262.12526907487154</v>
      </c>
      <c r="CP49" s="174">
        <f t="shared" si="67"/>
        <v>1.1815506605464092</v>
      </c>
      <c r="CQ49" s="179">
        <f t="shared" si="68"/>
        <v>7.072628277490156</v>
      </c>
      <c r="CR49" s="179"/>
      <c r="CS49" s="48" t="s">
        <v>275</v>
      </c>
      <c r="CT49" s="49">
        <f>CT13-CT48</f>
        <v>345361.85677805543</v>
      </c>
      <c r="CU49" s="164">
        <f>CT49/$I$7</f>
        <v>287.8015473150462</v>
      </c>
      <c r="CV49" s="174">
        <f>IF($I$14="no",CT49/(($I$7*$I$10)/100),CT49/$CT$1)</f>
        <v>1.28444410173373</v>
      </c>
      <c r="CW49" s="179">
        <f>(CT49/$CT$13)*100</f>
        <v>7.693579600427351</v>
      </c>
      <c r="CX49" s="179"/>
      <c r="CY49" s="49">
        <f>CY13-CY48</f>
        <v>376458.80459561665</v>
      </c>
      <c r="CZ49" s="164">
        <f>CY49/$I$7</f>
        <v>313.71567049634723</v>
      </c>
      <c r="DA49" s="174">
        <f>IF($I$14="no",CY49/(($I$7*$I$10)/100),CY49/$CY$1)</f>
        <v>1.3862352025212201</v>
      </c>
      <c r="DB49" s="179">
        <f>(CY49/$CY$13)*100</f>
        <v>8.308684874236363</v>
      </c>
      <c r="DC49" s="179"/>
      <c r="DD49" s="49">
        <f>DD13-DD48</f>
        <v>407843.8985197176</v>
      </c>
      <c r="DE49" s="164">
        <f>DD49/$I$7</f>
        <v>339.869915433098</v>
      </c>
      <c r="DF49" s="174">
        <f>IF($I$14="no",DD49/(($I$7*$I$10)/100),DD49/$DD$1)</f>
        <v>1.486935260173439</v>
      </c>
      <c r="DG49" s="179">
        <f>(DD49/$DD$13)*100</f>
        <v>8.917989026185262</v>
      </c>
      <c r="DH49" s="179"/>
      <c r="DI49" s="49">
        <f>DI13-DI48</f>
        <v>439519.896829701</v>
      </c>
      <c r="DJ49" s="164">
        <f>DI49/$I$7</f>
        <v>366.2665806914175</v>
      </c>
      <c r="DK49" s="174">
        <f>IF($I$14="no",DI49/(($I$7*$I$10)/100),DI49/$DI$1)</f>
        <v>1.5865554563087438</v>
      </c>
      <c r="DL49" s="179">
        <f>(DI49/$DI$13)*100</f>
        <v>9.521536781770829</v>
      </c>
      <c r="DM49" s="179"/>
      <c r="DN49" s="92">
        <f>DN13-DN48</f>
        <v>471489.5841558855</v>
      </c>
      <c r="DO49" s="164">
        <f t="shared" si="69"/>
        <v>392.90798679657127</v>
      </c>
      <c r="DP49" s="174">
        <f t="shared" si="70"/>
        <v>1.685106858081834</v>
      </c>
      <c r="DQ49" s="179">
        <f t="shared" si="71"/>
        <v>10.119372662731934</v>
      </c>
      <c r="DR49" s="195"/>
      <c r="DT49" s="62">
        <v>11</v>
      </c>
      <c r="DU49" s="107">
        <f t="shared" si="37"/>
        <v>1096079.6285349533</v>
      </c>
      <c r="DV49" s="107">
        <f aca="true" t="shared" si="112" ref="DV49:DZ58">(DV77/((1+$I$128)^$DT49))</f>
        <v>914217.3468841063</v>
      </c>
      <c r="DW49" s="107">
        <f t="shared" si="112"/>
        <v>7218.899931306228</v>
      </c>
      <c r="DX49" s="107">
        <f t="shared" si="112"/>
        <v>7550.380030192739</v>
      </c>
      <c r="DY49" s="107">
        <f t="shared" si="112"/>
        <v>4051.423430835129</v>
      </c>
      <c r="DZ49" s="10">
        <f t="shared" si="112"/>
        <v>110289.07154225123</v>
      </c>
      <c r="EA49" s="79">
        <f t="shared" si="39"/>
        <v>273330.6498007641</v>
      </c>
      <c r="EB49" s="81"/>
      <c r="EC49" s="75"/>
      <c r="ED49" s="81"/>
      <c r="EE49" s="81"/>
      <c r="EF49" s="81"/>
      <c r="EG49" s="81"/>
      <c r="EH49" s="62">
        <v>12</v>
      </c>
      <c r="EI49" s="107">
        <f t="shared" si="91"/>
        <v>2853.613542983681</v>
      </c>
      <c r="EJ49" s="107">
        <f t="shared" si="92"/>
        <v>3344.130533148136</v>
      </c>
      <c r="EK49" s="107">
        <f t="shared" si="93"/>
        <v>6197.744076131817</v>
      </c>
      <c r="EL49" s="107">
        <f>IF($H$97&lt;$EH39,0,-PPMT($I$97,$EH39,$H$97,($EK$14*$I$83),0,0))</f>
        <v>8878.875431539027</v>
      </c>
      <c r="EM49" s="107">
        <f>IF($H$97&lt;$EH39,0,-IPMT($I$97,$EH39,$H$97,($EK$14*$I$83),0,0))</f>
        <v>3654.3818451022817</v>
      </c>
      <c r="EN49" s="107">
        <f t="shared" si="52"/>
        <v>12533.257276641309</v>
      </c>
      <c r="EO49" s="107">
        <f t="shared" si="94"/>
        <v>6195.085592373118</v>
      </c>
      <c r="EP49" s="107">
        <f t="shared" si="95"/>
        <v>7259.979171271943</v>
      </c>
      <c r="EQ49" s="107">
        <f t="shared" si="96"/>
        <v>13455.064763645061</v>
      </c>
      <c r="ER49" s="107">
        <f t="shared" si="97"/>
        <v>871.6883607102881</v>
      </c>
      <c r="ES49" s="107">
        <f t="shared" si="98"/>
        <v>1021.5257316844717</v>
      </c>
      <c r="ET49" s="107">
        <f t="shared" si="99"/>
        <v>1893.2140923947597</v>
      </c>
      <c r="EU49" s="107">
        <f t="shared" si="100"/>
        <v>8071.18852509526</v>
      </c>
      <c r="EV49" s="107">
        <f t="shared" si="101"/>
        <v>9458.571589671034</v>
      </c>
      <c r="EW49" s="107">
        <f t="shared" si="102"/>
        <v>17529.760114766294</v>
      </c>
      <c r="EX49" s="107">
        <f t="shared" si="103"/>
        <v>1452.813934517147</v>
      </c>
      <c r="EY49" s="107">
        <f t="shared" si="104"/>
        <v>1702.5428861407856</v>
      </c>
      <c r="EZ49" s="107">
        <f t="shared" si="105"/>
        <v>3155.3568206579325</v>
      </c>
      <c r="FA49" s="107">
        <f t="shared" si="106"/>
        <v>1544.287404468227</v>
      </c>
      <c r="FB49" s="107">
        <f t="shared" si="107"/>
        <v>1809.740030823724</v>
      </c>
      <c r="FC49" s="107">
        <f t="shared" si="108"/>
        <v>3354.027435291951</v>
      </c>
      <c r="FD49" s="107">
        <f>IF($H$103&lt;$EH39,0,-PPMT($I$103,$EH39,$H$103,($EW$14*$I$89),0,0))</f>
        <v>31922.972128471858</v>
      </c>
      <c r="FE49" s="107">
        <f>IF($H$103&lt;$EH39,0,-IPMT($I$103,$EH39,$H$103,($EW$14*$I$89),0,0))</f>
        <v>13138.908264621587</v>
      </c>
      <c r="FF49" s="79">
        <f t="shared" si="53"/>
        <v>45061.880393093445</v>
      </c>
      <c r="FH49" s="62">
        <v>12</v>
      </c>
      <c r="FI49" s="107">
        <v>0</v>
      </c>
      <c r="FJ49" s="107">
        <v>0</v>
      </c>
      <c r="FK49" s="107">
        <v>0</v>
      </c>
      <c r="FL49" s="107">
        <v>0</v>
      </c>
      <c r="FM49" s="107">
        <v>0</v>
      </c>
      <c r="FN49" s="107">
        <v>0</v>
      </c>
      <c r="FO49" s="107">
        <v>0</v>
      </c>
      <c r="FP49" s="107">
        <v>0</v>
      </c>
      <c r="FQ49" s="107">
        <v>0</v>
      </c>
      <c r="FR49" s="107">
        <v>0</v>
      </c>
      <c r="FS49" s="107">
        <v>0</v>
      </c>
      <c r="FT49" s="107">
        <v>0</v>
      </c>
      <c r="FU49" s="107">
        <v>0</v>
      </c>
      <c r="FV49" s="107">
        <v>0</v>
      </c>
      <c r="FW49" s="107">
        <v>0</v>
      </c>
      <c r="FX49" s="107">
        <v>0</v>
      </c>
      <c r="FY49" s="107">
        <v>0</v>
      </c>
      <c r="FZ49" s="107">
        <v>0</v>
      </c>
      <c r="GA49" s="107">
        <f t="shared" si="46"/>
        <v>10</v>
      </c>
      <c r="GB49" s="107">
        <v>0</v>
      </c>
      <c r="GC49" s="107">
        <v>0</v>
      </c>
      <c r="GD49" s="107">
        <v>0</v>
      </c>
      <c r="GE49" s="107">
        <v>0</v>
      </c>
      <c r="GF49" s="107">
        <f t="shared" si="44"/>
        <v>0</v>
      </c>
      <c r="GG49" s="107">
        <f t="shared" si="45"/>
        <v>0</v>
      </c>
      <c r="GH49" s="107">
        <f t="shared" si="49"/>
        <v>15</v>
      </c>
      <c r="GI49" s="107">
        <v>0</v>
      </c>
      <c r="GJ49" s="107">
        <v>0</v>
      </c>
      <c r="GK49" s="107">
        <v>0</v>
      </c>
      <c r="GL49" s="107">
        <v>0</v>
      </c>
      <c r="GM49" s="107">
        <f t="shared" si="47"/>
        <v>0</v>
      </c>
      <c r="GN49" s="107">
        <f t="shared" si="48"/>
        <v>0</v>
      </c>
      <c r="GO49" s="107">
        <f t="shared" si="54"/>
        <v>22</v>
      </c>
      <c r="GP49" s="107">
        <v>0</v>
      </c>
      <c r="GQ49" s="107">
        <v>0</v>
      </c>
      <c r="GR49" s="107">
        <v>0</v>
      </c>
      <c r="GS49" s="107">
        <v>0</v>
      </c>
      <c r="GT49" s="107">
        <f t="shared" si="50"/>
        <v>0</v>
      </c>
      <c r="GU49" s="107">
        <f t="shared" si="51"/>
        <v>0</v>
      </c>
      <c r="GV49" s="107">
        <f t="shared" si="72"/>
        <v>34</v>
      </c>
      <c r="GW49" s="107">
        <v>0</v>
      </c>
      <c r="GX49" s="107">
        <v>0</v>
      </c>
      <c r="GY49" s="107">
        <v>0</v>
      </c>
      <c r="GZ49" s="107">
        <v>0</v>
      </c>
      <c r="HA49" s="107">
        <f t="shared" si="55"/>
        <v>0</v>
      </c>
      <c r="HB49" s="107">
        <f t="shared" si="56"/>
        <v>0</v>
      </c>
      <c r="HC49" s="107">
        <f t="shared" si="75"/>
        <v>51</v>
      </c>
      <c r="HD49" s="107">
        <v>0</v>
      </c>
      <c r="HE49" s="107">
        <v>0</v>
      </c>
      <c r="HF49" s="107">
        <v>0</v>
      </c>
      <c r="HG49" s="107">
        <v>0</v>
      </c>
      <c r="HH49" s="107">
        <f t="shared" si="73"/>
        <v>540</v>
      </c>
      <c r="HI49" s="107">
        <f t="shared" si="74"/>
        <v>0</v>
      </c>
      <c r="HJ49" s="107">
        <f t="shared" si="78"/>
        <v>77</v>
      </c>
      <c r="HK49" s="107">
        <v>0</v>
      </c>
      <c r="HL49" s="107">
        <v>0</v>
      </c>
      <c r="HM49" s="107">
        <v>0</v>
      </c>
      <c r="HN49" s="107">
        <v>0</v>
      </c>
      <c r="HO49" s="107">
        <f t="shared" si="76"/>
        <v>540</v>
      </c>
      <c r="HP49" s="107">
        <f t="shared" si="77"/>
        <v>0</v>
      </c>
      <c r="HQ49" s="107">
        <f t="shared" si="88"/>
        <v>117</v>
      </c>
      <c r="HR49" s="107">
        <v>0</v>
      </c>
      <c r="HS49" s="107">
        <v>0</v>
      </c>
      <c r="HT49" s="107">
        <v>0</v>
      </c>
      <c r="HU49" s="107">
        <v>0</v>
      </c>
      <c r="HV49" s="107">
        <f t="shared" si="79"/>
        <v>540</v>
      </c>
      <c r="HW49" s="107">
        <f t="shared" si="80"/>
        <v>0</v>
      </c>
      <c r="HX49" s="107">
        <f t="shared" si="109"/>
        <v>178</v>
      </c>
      <c r="HY49" s="107">
        <f>IF($H$120="yes",HX49*$FR$40,0)</f>
        <v>0</v>
      </c>
      <c r="HZ49" s="107">
        <f>IF($H$120="no",HX49*$FS$40,0)</f>
        <v>43313.333333333336</v>
      </c>
      <c r="IA49" s="107">
        <v>0</v>
      </c>
      <c r="IB49" s="107">
        <v>0</v>
      </c>
      <c r="IC49" s="107">
        <f t="shared" si="89"/>
        <v>1080</v>
      </c>
      <c r="ID49" s="107">
        <f t="shared" si="90"/>
        <v>0</v>
      </c>
      <c r="IE49" s="107">
        <f aca="true" t="shared" si="113" ref="IE49:IE57">ROUND(IE48-($I$17+$I$20)*IE48,0)</f>
        <v>269</v>
      </c>
      <c r="IF49" s="107">
        <f>IF($H$120="yes",IE49*$FR$39,0)</f>
        <v>0</v>
      </c>
      <c r="IG49" s="107">
        <f>IF($H$120="no",IE49*$FS$39,0)</f>
        <v>130913.33333333334</v>
      </c>
      <c r="IH49" s="107">
        <f>IF($H$120="yes",ROUND($I$17*IE49,0)*($FR$40),ROUND($I$17*IE49,0)*($FS$40))</f>
        <v>21656.666666666668</v>
      </c>
      <c r="II49" s="107">
        <f>IF($H$120="yes",ROUND($I$20*IE49,0)*($FR$40),ROUND($I$20*IE49,0)*($FS$40))</f>
        <v>730</v>
      </c>
      <c r="IJ49" s="107">
        <f t="shared" si="110"/>
        <v>1620</v>
      </c>
      <c r="IK49" s="107">
        <f t="shared" si="111"/>
        <v>0</v>
      </c>
      <c r="IL49" s="107">
        <f t="shared" si="34"/>
        <v>174226.6666666667</v>
      </c>
      <c r="IM49" s="107">
        <f t="shared" si="35"/>
        <v>22386.666666666668</v>
      </c>
      <c r="IN49" s="107">
        <f t="shared" si="36"/>
        <v>4320</v>
      </c>
      <c r="IO49" s="27">
        <f t="shared" si="36"/>
        <v>0</v>
      </c>
    </row>
    <row r="50" spans="1:249" ht="17.25" thickBot="1" thickTop="1">
      <c r="A50" s="6"/>
      <c r="B50" s="419"/>
      <c r="C50" s="423"/>
      <c r="D50" s="373"/>
      <c r="E50" s="366" t="s">
        <v>19</v>
      </c>
      <c r="G50" s="394" t="s">
        <v>276</v>
      </c>
      <c r="H50" s="440"/>
      <c r="I50" s="516">
        <v>1.06</v>
      </c>
      <c r="J50" s="203"/>
      <c r="K50" s="256" t="s">
        <v>277</v>
      </c>
      <c r="L50" s="288" t="s">
        <v>278</v>
      </c>
      <c r="M50" s="250"/>
      <c r="N50" s="257"/>
      <c r="O50" s="250"/>
      <c r="P50" s="250" t="s">
        <v>279</v>
      </c>
      <c r="Q50" s="251"/>
      <c r="R50" s="116"/>
      <c r="S50" s="48" t="s">
        <v>280</v>
      </c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48" t="s">
        <v>280</v>
      </c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48" t="s">
        <v>280</v>
      </c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48" t="s">
        <v>280</v>
      </c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4"/>
      <c r="DO50" s="93"/>
      <c r="DP50" s="93"/>
      <c r="DQ50" s="93"/>
      <c r="DR50" s="94"/>
      <c r="DT50" s="62">
        <v>12</v>
      </c>
      <c r="DU50" s="107">
        <f t="shared" si="37"/>
        <v>1014942.534544515</v>
      </c>
      <c r="DV50" s="107">
        <f t="shared" si="112"/>
        <v>841127.9904357496</v>
      </c>
      <c r="DW50" s="107">
        <f t="shared" si="112"/>
        <v>6622.843973675439</v>
      </c>
      <c r="DX50" s="107">
        <f t="shared" si="112"/>
        <v>6926.954156140127</v>
      </c>
      <c r="DY50" s="107">
        <f t="shared" si="112"/>
        <v>3716.9022301239715</v>
      </c>
      <c r="DZ50" s="10">
        <f t="shared" si="112"/>
        <v>94740.50560203589</v>
      </c>
      <c r="EA50" s="79">
        <f t="shared" si="39"/>
        <v>251288.34935086168</v>
      </c>
      <c r="EB50" s="81"/>
      <c r="EC50" s="75"/>
      <c r="ED50" s="81"/>
      <c r="EE50" s="81"/>
      <c r="EF50" s="81"/>
      <c r="EG50" s="81"/>
      <c r="EH50" s="62">
        <v>13</v>
      </c>
      <c r="EI50" s="107">
        <f t="shared" si="91"/>
        <v>3110.438761852212</v>
      </c>
      <c r="EJ50" s="107">
        <f t="shared" si="92"/>
        <v>3087.3053142796048</v>
      </c>
      <c r="EK50" s="107">
        <f t="shared" si="93"/>
        <v>6197.744076131817</v>
      </c>
      <c r="EL50" s="107">
        <f>IF($H$97&lt;$EH40,0,-PPMT($I$97,$EH40,$H$97,($EK$14*$I$83),0,0))</f>
        <v>9677.97422037754</v>
      </c>
      <c r="EM50" s="107">
        <f>IF($H$97&lt;$EH40,0,-IPMT($I$97,$EH40,$H$97,($EK$14*$I$83),0,0))</f>
        <v>2855.2830562637687</v>
      </c>
      <c r="EN50" s="107">
        <f t="shared" si="52"/>
        <v>12533.257276641309</v>
      </c>
      <c r="EO50" s="107">
        <f t="shared" si="94"/>
        <v>6752.643295686698</v>
      </c>
      <c r="EP50" s="107">
        <f t="shared" si="95"/>
        <v>6702.421467958363</v>
      </c>
      <c r="EQ50" s="107">
        <f t="shared" si="96"/>
        <v>13455.064763645061</v>
      </c>
      <c r="ER50" s="107">
        <f t="shared" si="97"/>
        <v>950.1403131742142</v>
      </c>
      <c r="ES50" s="107">
        <f t="shared" si="98"/>
        <v>943.0737792205456</v>
      </c>
      <c r="ET50" s="107">
        <f t="shared" si="99"/>
        <v>1893.2140923947597</v>
      </c>
      <c r="EU50" s="107">
        <f t="shared" si="100"/>
        <v>8797.595492353834</v>
      </c>
      <c r="EV50" s="107">
        <f t="shared" si="101"/>
        <v>8732.16462241246</v>
      </c>
      <c r="EW50" s="107">
        <f t="shared" si="102"/>
        <v>17529.760114766294</v>
      </c>
      <c r="EX50" s="107">
        <f t="shared" si="103"/>
        <v>1583.5671886236898</v>
      </c>
      <c r="EY50" s="107">
        <f t="shared" si="104"/>
        <v>1571.7896320342427</v>
      </c>
      <c r="EZ50" s="107">
        <f t="shared" si="105"/>
        <v>3155.3568206579325</v>
      </c>
      <c r="FA50" s="107">
        <f t="shared" si="106"/>
        <v>1683.2732708703668</v>
      </c>
      <c r="FB50" s="107">
        <f t="shared" si="107"/>
        <v>1670.7541644215842</v>
      </c>
      <c r="FC50" s="107">
        <f t="shared" si="108"/>
        <v>3354.027435291951</v>
      </c>
      <c r="FD50" s="107">
        <f>IF($H$103&lt;$EH40,0,-PPMT($I$103,$EH40,$H$103,($EW$14*$I$89),0,0))</f>
        <v>34796.039620034324</v>
      </c>
      <c r="FE50" s="107">
        <f>IF($H$103&lt;$EH40,0,-IPMT($I$103,$EH40,$H$103,($EW$14*$I$89),0,0))</f>
        <v>10265.840773059119</v>
      </c>
      <c r="FF50" s="79">
        <f t="shared" si="53"/>
        <v>45061.880393093445</v>
      </c>
      <c r="FH50" s="62">
        <v>13</v>
      </c>
      <c r="FI50" s="107">
        <v>0</v>
      </c>
      <c r="FJ50" s="107">
        <v>0</v>
      </c>
      <c r="FK50" s="107">
        <v>0</v>
      </c>
      <c r="FL50" s="107">
        <v>0</v>
      </c>
      <c r="FM50" s="107">
        <v>0</v>
      </c>
      <c r="FN50" s="107">
        <v>0</v>
      </c>
      <c r="FO50" s="107">
        <v>0</v>
      </c>
      <c r="FP50" s="107">
        <v>0</v>
      </c>
      <c r="FQ50" s="107">
        <v>0</v>
      </c>
      <c r="FR50" s="107">
        <v>0</v>
      </c>
      <c r="FS50" s="107">
        <v>0</v>
      </c>
      <c r="FT50" s="107">
        <v>0</v>
      </c>
      <c r="FU50" s="107">
        <v>0</v>
      </c>
      <c r="FV50" s="107">
        <v>0</v>
      </c>
      <c r="FW50" s="107">
        <v>0</v>
      </c>
      <c r="FX50" s="107">
        <v>0</v>
      </c>
      <c r="FY50" s="107">
        <v>0</v>
      </c>
      <c r="FZ50" s="107">
        <v>0</v>
      </c>
      <c r="GA50" s="107">
        <v>0</v>
      </c>
      <c r="GB50" s="107">
        <v>0</v>
      </c>
      <c r="GC50" s="107">
        <v>0</v>
      </c>
      <c r="GD50" s="107">
        <v>0</v>
      </c>
      <c r="GE50" s="107">
        <v>0</v>
      </c>
      <c r="GF50" s="107">
        <v>0</v>
      </c>
      <c r="GG50" s="107">
        <v>0</v>
      </c>
      <c r="GH50" s="107">
        <f t="shared" si="49"/>
        <v>10</v>
      </c>
      <c r="GI50" s="107">
        <v>0</v>
      </c>
      <c r="GJ50" s="107">
        <v>0</v>
      </c>
      <c r="GK50" s="107">
        <v>0</v>
      </c>
      <c r="GL50" s="107">
        <v>0</v>
      </c>
      <c r="GM50" s="107">
        <f t="shared" si="47"/>
        <v>0</v>
      </c>
      <c r="GN50" s="107">
        <f t="shared" si="48"/>
        <v>0</v>
      </c>
      <c r="GO50" s="107">
        <f t="shared" si="54"/>
        <v>15</v>
      </c>
      <c r="GP50" s="107">
        <v>0</v>
      </c>
      <c r="GQ50" s="107">
        <v>0</v>
      </c>
      <c r="GR50" s="107">
        <v>0</v>
      </c>
      <c r="GS50" s="107">
        <v>0</v>
      </c>
      <c r="GT50" s="107">
        <f t="shared" si="50"/>
        <v>0</v>
      </c>
      <c r="GU50" s="107">
        <f t="shared" si="51"/>
        <v>0</v>
      </c>
      <c r="GV50" s="107">
        <f t="shared" si="72"/>
        <v>22</v>
      </c>
      <c r="GW50" s="107">
        <v>0</v>
      </c>
      <c r="GX50" s="107">
        <v>0</v>
      </c>
      <c r="GY50" s="107">
        <v>0</v>
      </c>
      <c r="GZ50" s="107">
        <v>0</v>
      </c>
      <c r="HA50" s="107">
        <f t="shared" si="55"/>
        <v>0</v>
      </c>
      <c r="HB50" s="107">
        <f t="shared" si="56"/>
        <v>0</v>
      </c>
      <c r="HC50" s="107">
        <f t="shared" si="75"/>
        <v>34</v>
      </c>
      <c r="HD50" s="107">
        <v>0</v>
      </c>
      <c r="HE50" s="107">
        <v>0</v>
      </c>
      <c r="HF50" s="107">
        <v>0</v>
      </c>
      <c r="HG50" s="107">
        <v>0</v>
      </c>
      <c r="HH50" s="107">
        <f t="shared" si="73"/>
        <v>0</v>
      </c>
      <c r="HI50" s="107">
        <f t="shared" si="74"/>
        <v>0</v>
      </c>
      <c r="HJ50" s="107">
        <f t="shared" si="78"/>
        <v>51</v>
      </c>
      <c r="HK50" s="107">
        <v>0</v>
      </c>
      <c r="HL50" s="107">
        <v>0</v>
      </c>
      <c r="HM50" s="107">
        <v>0</v>
      </c>
      <c r="HN50" s="107">
        <v>0</v>
      </c>
      <c r="HO50" s="107">
        <f t="shared" si="76"/>
        <v>540</v>
      </c>
      <c r="HP50" s="107">
        <f t="shared" si="77"/>
        <v>0</v>
      </c>
      <c r="HQ50" s="107">
        <f t="shared" si="88"/>
        <v>77</v>
      </c>
      <c r="HR50" s="107">
        <v>0</v>
      </c>
      <c r="HS50" s="107">
        <v>0</v>
      </c>
      <c r="HT50" s="107">
        <v>0</v>
      </c>
      <c r="HU50" s="107">
        <v>0</v>
      </c>
      <c r="HV50" s="107">
        <f t="shared" si="79"/>
        <v>540</v>
      </c>
      <c r="HW50" s="107">
        <f t="shared" si="80"/>
        <v>0</v>
      </c>
      <c r="HX50" s="107">
        <f t="shared" si="109"/>
        <v>117</v>
      </c>
      <c r="HY50" s="107">
        <v>0</v>
      </c>
      <c r="HZ50" s="107">
        <v>0</v>
      </c>
      <c r="IA50" s="107">
        <v>0</v>
      </c>
      <c r="IB50" s="107">
        <v>0</v>
      </c>
      <c r="IC50" s="107">
        <f t="shared" si="89"/>
        <v>540</v>
      </c>
      <c r="ID50" s="107">
        <f t="shared" si="90"/>
        <v>0</v>
      </c>
      <c r="IE50" s="107">
        <f t="shared" si="113"/>
        <v>178</v>
      </c>
      <c r="IF50" s="107">
        <f>IF($H$120="yes",IE50*$FR$40,0)</f>
        <v>0</v>
      </c>
      <c r="IG50" s="107">
        <f>IF($H$120="no",IE50*$FS$40,0)</f>
        <v>43313.333333333336</v>
      </c>
      <c r="IH50" s="107">
        <v>0</v>
      </c>
      <c r="II50" s="107">
        <v>0</v>
      </c>
      <c r="IJ50" s="107">
        <f t="shared" si="110"/>
        <v>1080</v>
      </c>
      <c r="IK50" s="107">
        <f t="shared" si="111"/>
        <v>0</v>
      </c>
      <c r="IL50" s="107">
        <f t="shared" si="34"/>
        <v>43313.333333333336</v>
      </c>
      <c r="IM50" s="107">
        <f t="shared" si="35"/>
        <v>0</v>
      </c>
      <c r="IN50" s="107">
        <f t="shared" si="36"/>
        <v>2700</v>
      </c>
      <c r="IO50" s="27">
        <f t="shared" si="36"/>
        <v>0</v>
      </c>
    </row>
    <row r="51" spans="1:249" ht="17.25" thickBot="1" thickTop="1">
      <c r="A51" s="9"/>
      <c r="B51" s="420"/>
      <c r="C51" s="424"/>
      <c r="D51" s="333" t="s">
        <v>51</v>
      </c>
      <c r="E51" s="132" t="s">
        <v>52</v>
      </c>
      <c r="G51" s="56" t="s">
        <v>281</v>
      </c>
      <c r="H51" s="442"/>
      <c r="I51" s="134"/>
      <c r="J51" s="203"/>
      <c r="K51" s="252">
        <f>IF(T$3&gt;=$E$163,1,100)</f>
        <v>100</v>
      </c>
      <c r="L51" s="253" t="s">
        <v>282</v>
      </c>
      <c r="M51" s="280">
        <f>-($E$163+$EJ$30+$EL$30+$EN$30+$EP$30+$ER$30+$ET$30+$EV$30+$EX$30)</f>
        <v>-6394953</v>
      </c>
      <c r="N51" s="281"/>
      <c r="O51" s="263" t="s">
        <v>283</v>
      </c>
      <c r="P51" s="263" t="s">
        <v>284</v>
      </c>
      <c r="Q51" s="264" t="s">
        <v>285</v>
      </c>
      <c r="R51" s="265"/>
      <c r="S51" s="42" t="s">
        <v>286</v>
      </c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2" t="s">
        <v>286</v>
      </c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2" t="s">
        <v>286</v>
      </c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2" t="s">
        <v>286</v>
      </c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50"/>
      <c r="DO51" s="47"/>
      <c r="DP51" s="47"/>
      <c r="DQ51" s="47"/>
      <c r="DR51" s="50"/>
      <c r="DT51" s="62">
        <v>13</v>
      </c>
      <c r="DU51" s="107">
        <f t="shared" si="37"/>
        <v>939817.5019891211</v>
      </c>
      <c r="DV51" s="107">
        <f t="shared" si="112"/>
        <v>773902.4312353691</v>
      </c>
      <c r="DW51" s="107">
        <f t="shared" si="112"/>
        <v>6076.003645573796</v>
      </c>
      <c r="DX51" s="107">
        <f t="shared" si="112"/>
        <v>6355.003812972593</v>
      </c>
      <c r="DY51" s="107">
        <f t="shared" si="112"/>
        <v>3410.002045985294</v>
      </c>
      <c r="DZ51" s="10">
        <f t="shared" si="112"/>
        <v>81007.68510242153</v>
      </c>
      <c r="EA51" s="79">
        <f t="shared" si="39"/>
        <v>231081.7463516419</v>
      </c>
      <c r="EB51" s="81"/>
      <c r="EC51" s="75"/>
      <c r="ED51" s="81"/>
      <c r="EE51" s="81"/>
      <c r="EF51" s="81"/>
      <c r="EG51" s="81"/>
      <c r="EH51" s="62">
        <v>14</v>
      </c>
      <c r="EI51" s="107">
        <f t="shared" si="91"/>
        <v>3390.378250418911</v>
      </c>
      <c r="EJ51" s="107">
        <f t="shared" si="92"/>
        <v>2807.3658257129055</v>
      </c>
      <c r="EK51" s="107">
        <f t="shared" si="93"/>
        <v>6197.744076131817</v>
      </c>
      <c r="EL51" s="107">
        <f>IF($H$97&lt;$EH41,0,-PPMT($I$97,$EH41,$H$97,($EK$14*$I$83),0,0))</f>
        <v>10548.99190021152</v>
      </c>
      <c r="EM51" s="107">
        <f>IF($H$97&lt;$EH41,0,-IPMT($I$97,$EH41,$H$97,($EK$14*$I$83),0,0))</f>
        <v>1984.265376429789</v>
      </c>
      <c r="EN51" s="107">
        <f t="shared" si="52"/>
        <v>12533.257276641309</v>
      </c>
      <c r="EO51" s="107">
        <f t="shared" si="94"/>
        <v>7360.3811922985005</v>
      </c>
      <c r="EP51" s="107">
        <f t="shared" si="95"/>
        <v>6094.683571346561</v>
      </c>
      <c r="EQ51" s="107">
        <f t="shared" si="96"/>
        <v>13455.064763645061</v>
      </c>
      <c r="ER51" s="107">
        <f t="shared" si="97"/>
        <v>1035.6529413598937</v>
      </c>
      <c r="ES51" s="107">
        <f t="shared" si="98"/>
        <v>857.5611510348662</v>
      </c>
      <c r="ET51" s="107">
        <f t="shared" si="99"/>
        <v>1893.21409239476</v>
      </c>
      <c r="EU51" s="107">
        <f t="shared" si="100"/>
        <v>9589.379086665682</v>
      </c>
      <c r="EV51" s="107">
        <f t="shared" si="101"/>
        <v>7940.381028100613</v>
      </c>
      <c r="EW51" s="107">
        <f t="shared" si="102"/>
        <v>17529.760114766294</v>
      </c>
      <c r="EX51" s="107">
        <f t="shared" si="103"/>
        <v>1726.0882355998222</v>
      </c>
      <c r="EY51" s="107">
        <f t="shared" si="104"/>
        <v>1429.2685850581104</v>
      </c>
      <c r="EZ51" s="107">
        <f t="shared" si="105"/>
        <v>3155.3568206579325</v>
      </c>
      <c r="FA51" s="107">
        <f t="shared" si="106"/>
        <v>1834.7678652487004</v>
      </c>
      <c r="FB51" s="107">
        <f t="shared" si="107"/>
        <v>1519.2595700432505</v>
      </c>
      <c r="FC51" s="107">
        <f t="shared" si="108"/>
        <v>3354.027435291951</v>
      </c>
      <c r="FD51" s="107">
        <f>IF($H$103&lt;$EH41,0,-PPMT($I$103,$EH41,$H$103,($EW$14*$I$89),0,0))</f>
        <v>37927.68318583742</v>
      </c>
      <c r="FE51" s="107">
        <f>IF($H$103&lt;$EH41,0,-IPMT($I$103,$EH41,$H$103,($EW$14*$I$89),0,0))</f>
        <v>7134.197207256027</v>
      </c>
      <c r="FF51" s="79">
        <f t="shared" si="53"/>
        <v>45061.880393093445</v>
      </c>
      <c r="FH51" s="62">
        <v>14</v>
      </c>
      <c r="FI51" s="107">
        <v>0</v>
      </c>
      <c r="FJ51" s="107">
        <v>0</v>
      </c>
      <c r="FK51" s="107">
        <v>0</v>
      </c>
      <c r="FL51" s="107">
        <v>0</v>
      </c>
      <c r="FM51" s="107">
        <v>0</v>
      </c>
      <c r="FN51" s="107">
        <v>0</v>
      </c>
      <c r="FO51" s="107">
        <v>0</v>
      </c>
      <c r="FP51" s="107">
        <v>0</v>
      </c>
      <c r="FQ51" s="107">
        <v>0</v>
      </c>
      <c r="FR51" s="107">
        <v>0</v>
      </c>
      <c r="FS51" s="107">
        <v>0</v>
      </c>
      <c r="FT51" s="107">
        <v>0</v>
      </c>
      <c r="FU51" s="107">
        <v>0</v>
      </c>
      <c r="FV51" s="107">
        <v>0</v>
      </c>
      <c r="FW51" s="107">
        <v>0</v>
      </c>
      <c r="FX51" s="107">
        <v>0</v>
      </c>
      <c r="FY51" s="107">
        <v>0</v>
      </c>
      <c r="FZ51" s="107">
        <v>0</v>
      </c>
      <c r="GA51" s="107">
        <v>0</v>
      </c>
      <c r="GB51" s="107">
        <v>0</v>
      </c>
      <c r="GC51" s="107">
        <v>0</v>
      </c>
      <c r="GD51" s="107">
        <v>0</v>
      </c>
      <c r="GE51" s="107">
        <v>0</v>
      </c>
      <c r="GF51" s="107">
        <v>0</v>
      </c>
      <c r="GG51" s="107">
        <v>0</v>
      </c>
      <c r="GH51" s="107">
        <v>0</v>
      </c>
      <c r="GI51" s="107">
        <v>0</v>
      </c>
      <c r="GJ51" s="107">
        <v>0</v>
      </c>
      <c r="GK51" s="107">
        <v>0</v>
      </c>
      <c r="GL51" s="107">
        <v>0</v>
      </c>
      <c r="GM51" s="107">
        <v>0</v>
      </c>
      <c r="GN51" s="107">
        <v>0</v>
      </c>
      <c r="GO51" s="107">
        <f t="shared" si="54"/>
        <v>10</v>
      </c>
      <c r="GP51" s="107">
        <v>0</v>
      </c>
      <c r="GQ51" s="107">
        <v>0</v>
      </c>
      <c r="GR51" s="107">
        <v>0</v>
      </c>
      <c r="GS51" s="107">
        <v>0</v>
      </c>
      <c r="GT51" s="107">
        <f t="shared" si="50"/>
        <v>0</v>
      </c>
      <c r="GU51" s="107">
        <f t="shared" si="51"/>
        <v>0</v>
      </c>
      <c r="GV51" s="107">
        <f t="shared" si="72"/>
        <v>15</v>
      </c>
      <c r="GW51" s="107">
        <v>0</v>
      </c>
      <c r="GX51" s="107">
        <v>0</v>
      </c>
      <c r="GY51" s="107">
        <v>0</v>
      </c>
      <c r="GZ51" s="107">
        <v>0</v>
      </c>
      <c r="HA51" s="107">
        <f t="shared" si="55"/>
        <v>0</v>
      </c>
      <c r="HB51" s="107">
        <f t="shared" si="56"/>
        <v>0</v>
      </c>
      <c r="HC51" s="107">
        <f t="shared" si="75"/>
        <v>22</v>
      </c>
      <c r="HD51" s="107">
        <v>0</v>
      </c>
      <c r="HE51" s="107">
        <v>0</v>
      </c>
      <c r="HF51" s="107">
        <v>0</v>
      </c>
      <c r="HG51" s="107">
        <v>0</v>
      </c>
      <c r="HH51" s="107">
        <f t="shared" si="73"/>
        <v>0</v>
      </c>
      <c r="HI51" s="107">
        <f t="shared" si="74"/>
        <v>0</v>
      </c>
      <c r="HJ51" s="107">
        <f t="shared" si="78"/>
        <v>34</v>
      </c>
      <c r="HK51" s="107">
        <v>0</v>
      </c>
      <c r="HL51" s="107">
        <v>0</v>
      </c>
      <c r="HM51" s="107">
        <v>0</v>
      </c>
      <c r="HN51" s="107">
        <v>0</v>
      </c>
      <c r="HO51" s="107">
        <f t="shared" si="76"/>
        <v>0</v>
      </c>
      <c r="HP51" s="107">
        <f t="shared" si="77"/>
        <v>0</v>
      </c>
      <c r="HQ51" s="107">
        <f t="shared" si="88"/>
        <v>51</v>
      </c>
      <c r="HR51" s="107">
        <v>0</v>
      </c>
      <c r="HS51" s="107">
        <v>0</v>
      </c>
      <c r="HT51" s="107">
        <v>0</v>
      </c>
      <c r="HU51" s="107">
        <v>0</v>
      </c>
      <c r="HV51" s="107">
        <f t="shared" si="79"/>
        <v>540</v>
      </c>
      <c r="HW51" s="107">
        <f t="shared" si="80"/>
        <v>0</v>
      </c>
      <c r="HX51" s="107">
        <f t="shared" si="109"/>
        <v>77</v>
      </c>
      <c r="HY51" s="107">
        <v>0</v>
      </c>
      <c r="HZ51" s="107">
        <v>0</v>
      </c>
      <c r="IA51" s="107">
        <v>0</v>
      </c>
      <c r="IB51" s="107">
        <v>0</v>
      </c>
      <c r="IC51" s="107">
        <f t="shared" si="89"/>
        <v>540</v>
      </c>
      <c r="ID51" s="107">
        <f t="shared" si="90"/>
        <v>0</v>
      </c>
      <c r="IE51" s="107">
        <f t="shared" si="113"/>
        <v>117</v>
      </c>
      <c r="IF51" s="107">
        <v>0</v>
      </c>
      <c r="IG51" s="107">
        <v>0</v>
      </c>
      <c r="IH51" s="107">
        <v>0</v>
      </c>
      <c r="II51" s="107">
        <v>0</v>
      </c>
      <c r="IJ51" s="107">
        <f t="shared" si="110"/>
        <v>540</v>
      </c>
      <c r="IK51" s="107">
        <f t="shared" si="111"/>
        <v>0</v>
      </c>
      <c r="IL51" s="107">
        <f t="shared" si="34"/>
        <v>0</v>
      </c>
      <c r="IM51" s="107">
        <f t="shared" si="35"/>
        <v>0</v>
      </c>
      <c r="IN51" s="107">
        <f t="shared" si="36"/>
        <v>1620</v>
      </c>
      <c r="IO51" s="27">
        <f t="shared" si="36"/>
        <v>0</v>
      </c>
    </row>
    <row r="52" spans="1:249" ht="17.25" thickBot="1" thickTop="1">
      <c r="A52" s="11" t="s">
        <v>63</v>
      </c>
      <c r="B52" s="421" t="s">
        <v>64</v>
      </c>
      <c r="C52" s="421" t="s">
        <v>65</v>
      </c>
      <c r="D52" s="374" t="s">
        <v>66</v>
      </c>
      <c r="E52" s="295" t="s">
        <v>66</v>
      </c>
      <c r="G52" s="394" t="s">
        <v>287</v>
      </c>
      <c r="H52" s="440"/>
      <c r="I52" s="500">
        <v>0.57</v>
      </c>
      <c r="J52" s="203"/>
      <c r="K52" s="254">
        <f>IF(($T$3+0.5*$Y$3)&gt;=$E$163,1.5,100)</f>
        <v>100</v>
      </c>
      <c r="L52" s="254" t="s">
        <v>288</v>
      </c>
      <c r="M52" s="10">
        <f>$EA$67</f>
        <v>800974.4733636361</v>
      </c>
      <c r="N52" s="282"/>
      <c r="O52" s="275" t="s">
        <v>289</v>
      </c>
      <c r="P52" s="275" t="s">
        <v>290</v>
      </c>
      <c r="Q52" s="276" t="s">
        <v>291</v>
      </c>
      <c r="R52" s="265"/>
      <c r="S52" s="29" t="s">
        <v>37</v>
      </c>
      <c r="T52" s="98">
        <f>IF($I$120=3,$HT$64,$HT$117)</f>
        <v>876000</v>
      </c>
      <c r="U52" s="98">
        <f>T52/$I$7</f>
        <v>730</v>
      </c>
      <c r="V52" s="171">
        <f>IF($I$14="no",T52/(($I$7*$I$10)/100),T52/$T$1)</f>
        <v>3.7823834196891193</v>
      </c>
      <c r="W52" s="47">
        <f>(T52/$T$13)*100</f>
        <v>22.41907156635988</v>
      </c>
      <c r="X52" s="47">
        <f>(T52/$T$58)*100</f>
        <v>52.561262425957544</v>
      </c>
      <c r="Y52" s="98">
        <f>IF($I$120=3,$HT$65,$HT$118)</f>
        <v>683280</v>
      </c>
      <c r="Z52" s="98">
        <f>Y52/$I$7</f>
        <v>569.4</v>
      </c>
      <c r="AA52" s="171">
        <f>IF($I$14="no",Y52/(($I$7*$I$10)/100),Y52/$Y$1)</f>
        <v>2.921048581542092</v>
      </c>
      <c r="AB52" s="47">
        <f>(Y52/$Y$13)*100</f>
        <v>17.32666507265811</v>
      </c>
      <c r="AC52" s="47">
        <f>(Y52/$Y$58)*100</f>
        <v>54.31604874443965</v>
      </c>
      <c r="AD52" s="98">
        <f>IF($I$120=3,$HT$66,$HT$119)</f>
        <v>556016.6666666667</v>
      </c>
      <c r="AE52" s="98">
        <f>AD52/$I$7</f>
        <v>463.3472222222223</v>
      </c>
      <c r="AF52" s="171">
        <f>IF($I$14="no",AD52/(($I$7*$I$10)/100),AD52/$AD$1)</f>
        <v>2.353458297658628</v>
      </c>
      <c r="AG52" s="47">
        <f>(AD52/$AD$13)*100</f>
        <v>13.97023993985631</v>
      </c>
      <c r="AH52" s="47">
        <f>(AD52/$AD$58)*100</f>
        <v>55.45665624919964</v>
      </c>
      <c r="AI52" s="98">
        <f>IF($I$120=3,$HT$67,$HT$120)</f>
        <v>472066.6666666667</v>
      </c>
      <c r="AJ52" s="98">
        <f>AI52/$I$7</f>
        <v>393.3888888888889</v>
      </c>
      <c r="AK52" s="171">
        <f>IF($I$14="no",AI52/(($I$7*$I$10)/100),AI52/$AI$1)</f>
        <v>1.9783387557500434</v>
      </c>
      <c r="AL52" s="47">
        <f>(AI52/$AI$13)*100</f>
        <v>11.752120312215872</v>
      </c>
      <c r="AM52" s="47">
        <f>(AI52/$AI$58)*100</f>
        <v>56.62700641251721</v>
      </c>
      <c r="AN52" s="98">
        <f>IF($I$120=3,$HT$68,$HT$121)</f>
        <v>472066.6666666667</v>
      </c>
      <c r="AO52" s="98">
        <f>AN52/$I$7</f>
        <v>393.3888888888889</v>
      </c>
      <c r="AP52" s="171">
        <f>IF($I$14="no",AN52/(($I$7*$I$10)/100),AN52/$AN$1)</f>
        <v>1.9587512433168746</v>
      </c>
      <c r="AQ52" s="47">
        <f>(AN52/$AN$13)*100</f>
        <v>11.644213139273173</v>
      </c>
      <c r="AR52" s="47">
        <f>(AN52/$AN$58)*100</f>
        <v>58.49324799531591</v>
      </c>
      <c r="AS52" s="29" t="s">
        <v>37</v>
      </c>
      <c r="AT52" s="98">
        <f>IF($I$120=3,$HT$69,$HT$122)</f>
        <v>472066.6666666667</v>
      </c>
      <c r="AU52" s="98">
        <f>AT52/$I$7</f>
        <v>393.3888888888889</v>
      </c>
      <c r="AV52" s="171">
        <f>IF($I$14="no",AT52/(($I$7*$I$10)/100),AT52/$AT$1)</f>
        <v>1.939357666650371</v>
      </c>
      <c r="AW52" s="47">
        <f>(AT52/$AT$13)*100</f>
        <v>11.537219828309766</v>
      </c>
      <c r="AX52" s="47">
        <f>(AT52/$AT$58)*100</f>
        <v>53.348422384838045</v>
      </c>
      <c r="AY52" s="98">
        <f>IF($I$120=3,$HT$70,$HT$123)</f>
        <v>472066.6666666667</v>
      </c>
      <c r="AZ52" s="98">
        <f>AY52/$I$7</f>
        <v>393.3888888888889</v>
      </c>
      <c r="BA52" s="171">
        <f>IF($I$14="no",AY52/(($I$7*$I$10)/100),AY52/$AY$1)</f>
        <v>1.9201561055944267</v>
      </c>
      <c r="BB52" s="47">
        <f>(AY52/$AY$13)*100</f>
        <v>11.4311340487073</v>
      </c>
      <c r="BC52" s="47">
        <f>(AY52/$AY$58)*100</f>
        <v>56.71733663466859</v>
      </c>
      <c r="BD52" s="98">
        <f>IF($I$120=3,$HT$71,$HT$124)</f>
        <v>472066.6666666667</v>
      </c>
      <c r="BE52" s="98">
        <f>BD52/$I$7</f>
        <v>393.3888888888889</v>
      </c>
      <c r="BF52" s="171">
        <f>IF($I$14="no",BD52/(($I$7*$I$10)/100),BD52/$BD$1)</f>
        <v>1.9011446590043828</v>
      </c>
      <c r="BG52" s="47">
        <f>(BD52/$BD$13)*100</f>
        <v>11.325949487694267</v>
      </c>
      <c r="BH52" s="47">
        <f>(BD52/$BD$58)*100</f>
        <v>60.54042034899461</v>
      </c>
      <c r="BI52" s="98">
        <f>IF($I$120=3,$HT$72,$HT$125)</f>
        <v>472066.6666666667</v>
      </c>
      <c r="BJ52" s="98">
        <f>BI52/$I$7</f>
        <v>393.3888888888889</v>
      </c>
      <c r="BK52" s="171">
        <f>IF($I$14="no",BI52/(($I$7*$I$10)/100),BI52/$BI$1)</f>
        <v>1.8823214445587946</v>
      </c>
      <c r="BL52" s="47">
        <f>(BI52/$BI$13)*100</f>
        <v>11.221659850828857</v>
      </c>
      <c r="BM52" s="47">
        <f>(BI52/$BI$58)*100</f>
        <v>64.9643939807296</v>
      </c>
      <c r="BN52" s="98">
        <f>IF($I$120=3,$HT$73,$HT$126)</f>
        <v>472066.6666666667</v>
      </c>
      <c r="BO52" s="98">
        <f>BN52/$I$7</f>
        <v>393.3888888888889</v>
      </c>
      <c r="BP52" s="171">
        <f>IF($I$14="no",BN52/(($I$7*$I$10)/100),BN52/$BN$1)</f>
        <v>1.8636845985730641</v>
      </c>
      <c r="BQ52" s="47">
        <f>(BN52/$BN$13)*100</f>
        <v>11.118258862469482</v>
      </c>
      <c r="BR52" s="47">
        <f>(BN52/$BN$58)*100</f>
        <v>67.1210063061569</v>
      </c>
      <c r="BS52" s="29" t="s">
        <v>37</v>
      </c>
      <c r="BT52" s="98">
        <f>IF($I$120=3,$HT$74,$HT$127)</f>
        <v>472066.6666666667</v>
      </c>
      <c r="BU52" s="98">
        <f>BT52/$I$7</f>
        <v>393.3888888888889</v>
      </c>
      <c r="BV52" s="171">
        <f>IF($I$14="no",BT52/(($I$7*$I$10)/100),BT52/$BT$1)</f>
        <v>1.8452322758149151</v>
      </c>
      <c r="BW52" s="47">
        <f>(BT52/$BT$13)*100</f>
        <v>11.015740266233106</v>
      </c>
      <c r="BX52" s="47">
        <f>(BT52/$BT$58)*100</f>
        <v>56.397297605656284</v>
      </c>
      <c r="BY52" s="98">
        <f>IF($I$120=3,$HT$75,$HT$128)</f>
        <v>472066.6666666667</v>
      </c>
      <c r="BZ52" s="98">
        <f>BY52/$I$7</f>
        <v>393.3888888888889</v>
      </c>
      <c r="CA52" s="171">
        <f>IF($I$14="no",BY52/(($I$7*$I$10)/100),BY52/$BY$1)</f>
        <v>1.8269626493216984</v>
      </c>
      <c r="CB52" s="47">
        <f>(BY52/$BY$13)*100</f>
        <v>10.914097825441594</v>
      </c>
      <c r="CC52" s="47">
        <f>(BY52/$BY$58)*100</f>
        <v>60.23217958266371</v>
      </c>
      <c r="CD52" s="98">
        <f>IF($I$120=3,$HT$76,$HT$129)</f>
        <v>472066.6666666667</v>
      </c>
      <c r="CE52" s="98">
        <f>CD52/$I$7</f>
        <v>393.3888888888889</v>
      </c>
      <c r="CF52" s="171">
        <f>IF($I$14="no",CD52/(($I$7*$I$10)/100),CD52/$CD$1)</f>
        <v>1.8088739102195033</v>
      </c>
      <c r="CG52" s="47">
        <f>(CD52/$CD$13)*100</f>
        <v>10.813325323556153</v>
      </c>
      <c r="CH52" s="47">
        <f>(CD52/$CD$58)*100</f>
        <v>64.6266370510822</v>
      </c>
      <c r="CI52" s="98">
        <f>IF($I$120=3,$HT$77,$HT$130)</f>
        <v>472066.6666666667</v>
      </c>
      <c r="CJ52" s="98">
        <f>CI52/$I$7</f>
        <v>393.3888888888889</v>
      </c>
      <c r="CK52" s="171">
        <f>IF($I$14="no",CI52/(($I$7*$I$10)/100),CI52/$CI$1)</f>
        <v>1.7909642675440625</v>
      </c>
      <c r="CL52" s="47">
        <f>(CI52/$CI$13)*100</f>
        <v>10.71341656460006</v>
      </c>
      <c r="CM52" s="47">
        <f>(CI52/$CI$58)*100</f>
        <v>69.71278664842481</v>
      </c>
      <c r="CN52" s="98">
        <f>IF($I$120=3,$HT$78,$HT$131)</f>
        <v>472066.6666666667</v>
      </c>
      <c r="CO52" s="98">
        <f>CN52/$I$7</f>
        <v>393.3888888888889</v>
      </c>
      <c r="CP52" s="171">
        <f>IF($I$14="no",CN52/(($I$7*$I$10)/100),CN52/$CN$1)</f>
        <v>1.773231948063428</v>
      </c>
      <c r="CQ52" s="47">
        <f>(CN52/$CN$13)*100</f>
        <v>10.614365373569822</v>
      </c>
      <c r="CR52" s="47">
        <f>(CN52/$CN$58)*100</f>
        <v>72.28323215357428</v>
      </c>
      <c r="CS52" s="29" t="s">
        <v>37</v>
      </c>
      <c r="CT52" s="98">
        <f>IF($I$120=3,$HT$79,$HT$132)</f>
        <v>472066.6666666667</v>
      </c>
      <c r="CU52" s="98">
        <f>CT52/$I$7</f>
        <v>393.3888888888889</v>
      </c>
      <c r="CV52" s="171">
        <f>IF($I$14="no",CT52/(($I$7*$I$10)/100),CT52/$CT$1)</f>
        <v>1.755675196102404</v>
      </c>
      <c r="CW52" s="47">
        <f>(CT52/$CT$13)*100</f>
        <v>10.51616559683489</v>
      </c>
      <c r="CX52" s="47">
        <f>(CT52/$CT$58)*100</f>
        <v>64.41199330294222</v>
      </c>
      <c r="CY52" s="98">
        <f>IF($I$120=3,$HT$80,$HT$133)</f>
        <v>472066.6666666667</v>
      </c>
      <c r="CZ52" s="98">
        <f>CY52/$I$7</f>
        <v>393.3888888888889</v>
      </c>
      <c r="DA52" s="171">
        <f>IF($I$14="no",CY52/(($I$7*$I$10)/100),CY52/$CY$1)</f>
        <v>1.738292273368717</v>
      </c>
      <c r="DB52" s="47">
        <f>(CY52/$CY$13)*100</f>
        <v>10.418811102526096</v>
      </c>
      <c r="DC52" s="47">
        <f>(CY52/$CY$58)*100</f>
        <v>67.91303075991823</v>
      </c>
      <c r="DD52" s="98">
        <f>IF($I$120=3,$HT$81,$HT$134)</f>
        <v>472066.6666666667</v>
      </c>
      <c r="DE52" s="98">
        <f>DD52/$I$7</f>
        <v>393.3888888888889</v>
      </c>
      <c r="DF52" s="171">
        <f>IF($I$14="no",DD52/(($I$7*$I$10)/100),DD52/$DD$1)</f>
        <v>1.7210814587809076</v>
      </c>
      <c r="DG52" s="47">
        <f>(DD52/$DD$13)*100</f>
        <v>10.322295780912997</v>
      </c>
      <c r="DH52" s="47">
        <f>(DD52/$DD$58)*100</f>
        <v>71.81653319564603</v>
      </c>
      <c r="DI52" s="98">
        <f>IF($I$120=3,$HT$82,$HT$135)</f>
        <v>472066.6666666667</v>
      </c>
      <c r="DJ52" s="98">
        <f>DI52/$I$7</f>
        <v>393.3888888888889</v>
      </c>
      <c r="DK52" s="171">
        <f>IF($I$14="no",DI52/(($I$7*$I$10)/100),DI52/$DI$1)</f>
        <v>1.7040410482979282</v>
      </c>
      <c r="DL52" s="47">
        <f>(DI52/$DI$13)*100</f>
        <v>10.226613544770187</v>
      </c>
      <c r="DM52" s="47">
        <f>(DI52/$DI$58)*100</f>
        <v>76.19613135226588</v>
      </c>
      <c r="DN52" s="103">
        <f>IF($I$120=3,$HT$83,$HT$136)</f>
        <v>472066.6666666667</v>
      </c>
      <c r="DO52" s="98">
        <f>DN52/$I$7</f>
        <v>393.3888888888889</v>
      </c>
      <c r="DP52" s="171">
        <f>IF($I$14="no",DN52/(($I$7*$I$10)/100),DN52/$DN$1)</f>
        <v>1.687169354750424</v>
      </c>
      <c r="DQ52" s="47">
        <f>(DN52/$DN$13)*100</f>
        <v>10.131758329732817</v>
      </c>
      <c r="DR52" s="50">
        <f>(DN52/$DN$58)*100</f>
        <v>77.26480736868054</v>
      </c>
      <c r="DT52" s="62">
        <v>14</v>
      </c>
      <c r="DU52" s="107">
        <f t="shared" si="37"/>
        <v>870258.5684858222</v>
      </c>
      <c r="DV52" s="107">
        <f t="shared" si="112"/>
        <v>712068.6886946432</v>
      </c>
      <c r="DW52" s="107">
        <f t="shared" si="112"/>
        <v>5574.31527116862</v>
      </c>
      <c r="DX52" s="107">
        <f t="shared" si="112"/>
        <v>5830.278727497792</v>
      </c>
      <c r="DY52" s="107">
        <f t="shared" si="112"/>
        <v>3128.4422440232056</v>
      </c>
      <c r="DZ52" s="10">
        <f t="shared" si="112"/>
        <v>68896.76619917771</v>
      </c>
      <c r="EA52" s="79">
        <f t="shared" si="39"/>
        <v>212553.60974766707</v>
      </c>
      <c r="EB52" s="81"/>
      <c r="EC52" s="75"/>
      <c r="ED52" s="81"/>
      <c r="EE52" s="81"/>
      <c r="EF52" s="81"/>
      <c r="EG52" s="81"/>
      <c r="EH52" s="62">
        <v>15</v>
      </c>
      <c r="EI52" s="107">
        <f t="shared" si="91"/>
        <v>3695.5122929566137</v>
      </c>
      <c r="EJ52" s="107">
        <f t="shared" si="92"/>
        <v>2502.231783175203</v>
      </c>
      <c r="EK52" s="107">
        <f t="shared" si="93"/>
        <v>6197.744076131817</v>
      </c>
      <c r="EL52" s="107">
        <f>IF($H$97&lt;$EH42,0,-PPMT($I$97,$EH42,$H$97,($EK$14*$I$83),0,0))</f>
        <v>11498.401171230556</v>
      </c>
      <c r="EM52" s="107">
        <f>IF($H$97&lt;$EH42,0,-IPMT($I$97,$EH42,$H$97,($EK$14*$I$83),0,0))</f>
        <v>1034.856105410753</v>
      </c>
      <c r="EN52" s="107">
        <f t="shared" si="52"/>
        <v>12533.257276641309</v>
      </c>
      <c r="EO52" s="107">
        <f t="shared" si="94"/>
        <v>8022.815499605367</v>
      </c>
      <c r="EP52" s="107">
        <f t="shared" si="95"/>
        <v>5432.249264039694</v>
      </c>
      <c r="EQ52" s="107">
        <f t="shared" si="96"/>
        <v>13455.064763645061</v>
      </c>
      <c r="ER52" s="107">
        <f t="shared" si="97"/>
        <v>1128.861706082284</v>
      </c>
      <c r="ES52" s="107">
        <f t="shared" si="98"/>
        <v>764.3523863124758</v>
      </c>
      <c r="ET52" s="107">
        <f t="shared" si="99"/>
        <v>1893.2140923947597</v>
      </c>
      <c r="EU52" s="107">
        <f t="shared" si="100"/>
        <v>10452.423204465591</v>
      </c>
      <c r="EV52" s="107">
        <f t="shared" si="101"/>
        <v>7077.336910300702</v>
      </c>
      <c r="EW52" s="107">
        <f t="shared" si="102"/>
        <v>17529.760114766294</v>
      </c>
      <c r="EX52" s="107">
        <f t="shared" si="103"/>
        <v>1881.4361768038061</v>
      </c>
      <c r="EY52" s="107">
        <f t="shared" si="104"/>
        <v>1273.9206438541264</v>
      </c>
      <c r="EZ52" s="107">
        <f t="shared" si="105"/>
        <v>3155.3568206579325</v>
      </c>
      <c r="FA52" s="107">
        <f t="shared" si="106"/>
        <v>1999.8969731210836</v>
      </c>
      <c r="FB52" s="107">
        <f t="shared" si="107"/>
        <v>1354.1304621708673</v>
      </c>
      <c r="FC52" s="107">
        <f t="shared" si="108"/>
        <v>3354.027435291951</v>
      </c>
      <c r="FD52" s="107">
        <f>IF($H$103&lt;$EH42,0,-PPMT($I$103,$EH42,$H$103,($EW$14*$I$89),0,0))</f>
        <v>41341.17467256279</v>
      </c>
      <c r="FE52" s="107">
        <f>IF($H$103&lt;$EH42,0,-IPMT($I$103,$EH42,$H$103,($EW$14*$I$89),0,0))</f>
        <v>3720.7057205306573</v>
      </c>
      <c r="FF52" s="79">
        <f t="shared" si="53"/>
        <v>45061.880393093445</v>
      </c>
      <c r="FH52" s="62">
        <v>15</v>
      </c>
      <c r="FI52" s="107">
        <v>0</v>
      </c>
      <c r="FJ52" s="107">
        <v>0</v>
      </c>
      <c r="FK52" s="107">
        <v>0</v>
      </c>
      <c r="FL52" s="107">
        <v>0</v>
      </c>
      <c r="FM52" s="107">
        <v>0</v>
      </c>
      <c r="FN52" s="107">
        <v>0</v>
      </c>
      <c r="FO52" s="107">
        <v>0</v>
      </c>
      <c r="FP52" s="107">
        <v>0</v>
      </c>
      <c r="FQ52" s="107">
        <v>0</v>
      </c>
      <c r="FR52" s="107">
        <v>0</v>
      </c>
      <c r="FS52" s="107">
        <v>0</v>
      </c>
      <c r="FT52" s="107">
        <v>0</v>
      </c>
      <c r="FU52" s="107">
        <v>0</v>
      </c>
      <c r="FV52" s="107">
        <v>0</v>
      </c>
      <c r="FW52" s="107">
        <v>0</v>
      </c>
      <c r="FX52" s="107">
        <v>0</v>
      </c>
      <c r="FY52" s="107">
        <v>0</v>
      </c>
      <c r="FZ52" s="107">
        <v>0</v>
      </c>
      <c r="GA52" s="107">
        <v>0</v>
      </c>
      <c r="GB52" s="107">
        <v>0</v>
      </c>
      <c r="GC52" s="107">
        <v>0</v>
      </c>
      <c r="GD52" s="107">
        <v>0</v>
      </c>
      <c r="GE52" s="107">
        <v>0</v>
      </c>
      <c r="GF52" s="107">
        <v>0</v>
      </c>
      <c r="GG52" s="107">
        <v>0</v>
      </c>
      <c r="GH52" s="107">
        <v>0</v>
      </c>
      <c r="GI52" s="107">
        <v>0</v>
      </c>
      <c r="GJ52" s="107">
        <v>0</v>
      </c>
      <c r="GK52" s="107">
        <v>0</v>
      </c>
      <c r="GL52" s="107">
        <v>0</v>
      </c>
      <c r="GM52" s="107">
        <v>0</v>
      </c>
      <c r="GN52" s="107">
        <v>0</v>
      </c>
      <c r="GO52" s="107">
        <v>0</v>
      </c>
      <c r="GP52" s="107">
        <v>0</v>
      </c>
      <c r="GQ52" s="107">
        <v>0</v>
      </c>
      <c r="GR52" s="107">
        <v>0</v>
      </c>
      <c r="GS52" s="107">
        <v>0</v>
      </c>
      <c r="GT52" s="107">
        <v>0</v>
      </c>
      <c r="GU52" s="107">
        <v>0</v>
      </c>
      <c r="GV52" s="107">
        <f t="shared" si="72"/>
        <v>10</v>
      </c>
      <c r="GW52" s="107">
        <v>0</v>
      </c>
      <c r="GX52" s="107">
        <v>0</v>
      </c>
      <c r="GY52" s="107">
        <v>0</v>
      </c>
      <c r="GZ52" s="107">
        <v>0</v>
      </c>
      <c r="HA52" s="107">
        <f t="shared" si="55"/>
        <v>0</v>
      </c>
      <c r="HB52" s="107">
        <f t="shared" si="56"/>
        <v>0</v>
      </c>
      <c r="HC52" s="107">
        <f t="shared" si="75"/>
        <v>15</v>
      </c>
      <c r="HD52" s="107">
        <v>0</v>
      </c>
      <c r="HE52" s="107">
        <v>0</v>
      </c>
      <c r="HF52" s="107">
        <v>0</v>
      </c>
      <c r="HG52" s="107">
        <v>0</v>
      </c>
      <c r="HH52" s="107">
        <f t="shared" si="73"/>
        <v>0</v>
      </c>
      <c r="HI52" s="107">
        <f t="shared" si="74"/>
        <v>0</v>
      </c>
      <c r="HJ52" s="107">
        <f t="shared" si="78"/>
        <v>22</v>
      </c>
      <c r="HK52" s="107">
        <v>0</v>
      </c>
      <c r="HL52" s="107">
        <v>0</v>
      </c>
      <c r="HM52" s="107">
        <v>0</v>
      </c>
      <c r="HN52" s="107">
        <v>0</v>
      </c>
      <c r="HO52" s="107">
        <f t="shared" si="76"/>
        <v>0</v>
      </c>
      <c r="HP52" s="107">
        <f t="shared" si="77"/>
        <v>0</v>
      </c>
      <c r="HQ52" s="107">
        <f t="shared" si="88"/>
        <v>34</v>
      </c>
      <c r="HR52" s="107">
        <v>0</v>
      </c>
      <c r="HS52" s="107">
        <v>0</v>
      </c>
      <c r="HT52" s="107">
        <v>0</v>
      </c>
      <c r="HU52" s="107">
        <v>0</v>
      </c>
      <c r="HV52" s="107">
        <f t="shared" si="79"/>
        <v>0</v>
      </c>
      <c r="HW52" s="107">
        <f t="shared" si="80"/>
        <v>0</v>
      </c>
      <c r="HX52" s="107">
        <f t="shared" si="109"/>
        <v>51</v>
      </c>
      <c r="HY52" s="107">
        <v>0</v>
      </c>
      <c r="HZ52" s="107">
        <v>0</v>
      </c>
      <c r="IA52" s="107">
        <v>0</v>
      </c>
      <c r="IB52" s="107">
        <v>0</v>
      </c>
      <c r="IC52" s="107">
        <f t="shared" si="89"/>
        <v>540</v>
      </c>
      <c r="ID52" s="107">
        <f t="shared" si="90"/>
        <v>0</v>
      </c>
      <c r="IE52" s="107">
        <f t="shared" si="113"/>
        <v>77</v>
      </c>
      <c r="IF52" s="107">
        <v>0</v>
      </c>
      <c r="IG52" s="107">
        <v>0</v>
      </c>
      <c r="IH52" s="107">
        <v>0</v>
      </c>
      <c r="II52" s="107">
        <v>0</v>
      </c>
      <c r="IJ52" s="107">
        <f t="shared" si="110"/>
        <v>540</v>
      </c>
      <c r="IK52" s="107">
        <f t="shared" si="111"/>
        <v>0</v>
      </c>
      <c r="IL52" s="107">
        <f t="shared" si="34"/>
        <v>0</v>
      </c>
      <c r="IM52" s="107">
        <f t="shared" si="35"/>
        <v>0</v>
      </c>
      <c r="IN52" s="107">
        <f t="shared" si="36"/>
        <v>1080</v>
      </c>
      <c r="IO52" s="27">
        <f t="shared" si="36"/>
        <v>0</v>
      </c>
    </row>
    <row r="53" spans="1:249" ht="16.5" thickTop="1">
      <c r="A53" s="479">
        <v>2</v>
      </c>
      <c r="B53" s="416" t="s">
        <v>292</v>
      </c>
      <c r="C53" s="411" t="s">
        <v>209</v>
      </c>
      <c r="D53" s="484">
        <v>35000</v>
      </c>
      <c r="E53" s="367">
        <f aca="true" t="shared" si="114" ref="E53:E60">D53*A53</f>
        <v>70000</v>
      </c>
      <c r="G53" s="396" t="s">
        <v>293</v>
      </c>
      <c r="H53" s="440"/>
      <c r="I53" s="500">
        <v>0.17</v>
      </c>
      <c r="J53" s="203"/>
      <c r="K53" s="254">
        <f>IF(($T$3+$Y$3)&gt;=$E$163,2,100)</f>
        <v>100</v>
      </c>
      <c r="L53" s="254" t="s">
        <v>294</v>
      </c>
      <c r="M53" s="10">
        <f>$EA$68</f>
        <v>679902.9930107957</v>
      </c>
      <c r="N53" s="282"/>
      <c r="O53" s="254">
        <f>($T$2/305)/2.204622622</f>
        <v>28.702730296391817</v>
      </c>
      <c r="P53" s="90">
        <f aca="true" t="shared" si="115" ref="P53:P72">ROUND(0.0477+(0.0003*O53),4)</f>
        <v>0.0563</v>
      </c>
      <c r="Q53" s="10">
        <f>IF($I$14="yes",P53*((($T$1*100)-($I$7*$I$10))/2.204622622),0)</f>
        <v>0</v>
      </c>
      <c r="R53" s="81"/>
      <c r="S53" s="29" t="s">
        <v>38</v>
      </c>
      <c r="T53" s="386">
        <f>$FM$10+$FP$10+$FS$10+$FV$10</f>
        <v>311031.63636363635</v>
      </c>
      <c r="U53" s="460">
        <f>T53/$I$7</f>
        <v>259.1930303030303</v>
      </c>
      <c r="V53" s="464">
        <f>IF($I$14="no",T53/(($I$7*$I$10)/100),T53/$T$1)</f>
        <v>1.3429690689276181</v>
      </c>
      <c r="W53" s="47">
        <f>(T53/$T$13)*100</f>
        <v>7.960091912144273</v>
      </c>
      <c r="X53" s="47">
        <f>(T53/$T$58)*100</f>
        <v>18.66234641744759</v>
      </c>
      <c r="Y53" s="386">
        <f>$FM$11+$FP$11+$FS$11+$FV$11</f>
        <v>284434.07272727275</v>
      </c>
      <c r="Z53" s="460">
        <f>Y53/$I$7</f>
        <v>237.02839393939396</v>
      </c>
      <c r="AA53" s="464">
        <f>IF($I$14="no",Y53/(($I$7*$I$10)/100),Y53/$Y$1)</f>
        <v>1.2159667262062994</v>
      </c>
      <c r="AB53" s="47">
        <f>(Y53/$Y$13)*100</f>
        <v>7.212700376708719</v>
      </c>
      <c r="AC53" s="47">
        <f>(Y53/$Y$58)*100</f>
        <v>22.610547592252132</v>
      </c>
      <c r="AD53" s="386">
        <f>$FM$12+$FP$12+$FS$12+$FV$12</f>
        <v>257836.5090909091</v>
      </c>
      <c r="AE53" s="460">
        <f>AD53/$I$7</f>
        <v>214.86375757575757</v>
      </c>
      <c r="AF53" s="464">
        <f>IF($I$14="no",AD53/(($I$7*$I$10)/100),AD53/$AD$1)</f>
        <v>1.0913476306333758</v>
      </c>
      <c r="AG53" s="47">
        <f>(AD53/$AD$13)*100</f>
        <v>6.478291233335229</v>
      </c>
      <c r="AH53" s="47">
        <f>(AD53/$AD$58)*100</f>
        <v>25.716406558223404</v>
      </c>
      <c r="AI53" s="386">
        <f>$FM$13+$FP$13+$FS$13+$FV$13</f>
        <v>231238.94545454544</v>
      </c>
      <c r="AJ53" s="460">
        <f>AI53/$I$7</f>
        <v>192.69912121212118</v>
      </c>
      <c r="AK53" s="464">
        <f>IF($I$14="no",AI53/(($I$7*$I$10)/100),AI53/$AI$1)</f>
        <v>0.9690770391854912</v>
      </c>
      <c r="AL53" s="47">
        <f>(AI53/$AI$13)*100</f>
        <v>5.756703660185866</v>
      </c>
      <c r="AM53" s="47">
        <f>(AI53/$AI$58)*100</f>
        <v>27.73838987518344</v>
      </c>
      <c r="AN53" s="386">
        <f>$FM$14+$FP$14+$FS$14+$FV$14</f>
        <v>204641.38181818184</v>
      </c>
      <c r="AO53" s="460">
        <f>AN53/$I$7</f>
        <v>170.53448484848485</v>
      </c>
      <c r="AP53" s="464">
        <f>IF($I$14="no",AN53/(($I$7*$I$10)/100),AN53/$AN$1)</f>
        <v>0.8491206631911741</v>
      </c>
      <c r="AQ53" s="47">
        <f>(AN53/$AN$13)*100</f>
        <v>5.04777828062341</v>
      </c>
      <c r="AR53" s="47">
        <f>(AN53/$AN$58)*100</f>
        <v>25.356882707516682</v>
      </c>
      <c r="AS53" s="29" t="s">
        <v>38</v>
      </c>
      <c r="AT53" s="386">
        <f>$FM$15+$FP$15+$FS$15+$FV$15</f>
        <v>178043.81818181818</v>
      </c>
      <c r="AU53" s="460">
        <f>AT53/$I$7</f>
        <v>148.3698484848485</v>
      </c>
      <c r="AV53" s="464">
        <f>IF($I$14="no",AT53/(($I$7*$I$10)/100),AT53/$AT$1)</f>
        <v>0.731444662739614</v>
      </c>
      <c r="AW53" s="47">
        <f>(AT53/$AT$13)*100</f>
        <v>4.351357158809317</v>
      </c>
      <c r="AX53" s="47">
        <f>(AT53/$AT$58)*100</f>
        <v>20.120795400451087</v>
      </c>
      <c r="AY53" s="386">
        <f>$FM$16+$FP$16+$FS$16+$FV$16</f>
        <v>157946.25454545455</v>
      </c>
      <c r="AZ53" s="460">
        <f>AY53/$I$7</f>
        <v>131.62187878787879</v>
      </c>
      <c r="BA53" s="464">
        <f>IF($I$14="no",AY53/(($I$7*$I$10)/100),AY53/$AY$1)</f>
        <v>0.6424547345457408</v>
      </c>
      <c r="BB53" s="47">
        <f>(AY53/$AY$13)*100</f>
        <v>3.8246818419721835</v>
      </c>
      <c r="BC53" s="47">
        <f>(AY53/$AY$58)*100</f>
        <v>18.97674951823104</v>
      </c>
      <c r="BD53" s="386">
        <f>$FM$17+$FP$17+$FS$17+$FV$17</f>
        <v>137848.69090909092</v>
      </c>
      <c r="BE53" s="460">
        <f>BD53/$I$7</f>
        <v>114.8739090909091</v>
      </c>
      <c r="BF53" s="464">
        <f>IF($I$14="no",BD53/(($I$7*$I$10)/100),BD53/$BD$1)</f>
        <v>0.5551552799164614</v>
      </c>
      <c r="BG53" s="47">
        <f>(BD53/$BD$13)*100</f>
        <v>3.3073025918256107</v>
      </c>
      <c r="BH53" s="47">
        <f>(BD53/$BD$58)*100</f>
        <v>17.678472727429025</v>
      </c>
      <c r="BI53" s="386">
        <f>$FM$18+$FP$18+$FS$18+$FV$18</f>
        <v>117751.12727272727</v>
      </c>
      <c r="BJ53" s="460">
        <f>BI53/$I$7</f>
        <v>98.12593939393939</v>
      </c>
      <c r="BK53" s="464">
        <f>IF($I$14="no",BI53/(($I$7*$I$10)/100),BI53/$BI$1)</f>
        <v>0.4695215477752291</v>
      </c>
      <c r="BL53" s="47">
        <f>(BI53/$BI$13)*100</f>
        <v>2.7991027340196357</v>
      </c>
      <c r="BM53" s="47">
        <f>(BI53/$BI$58)*100</f>
        <v>16.20455576293</v>
      </c>
      <c r="BN53" s="386">
        <f>$FM$19+$FP$19+$FS$19+$FV$19</f>
        <v>97653.56363636363</v>
      </c>
      <c r="BO53" s="460">
        <f>BN53/$I$7</f>
        <v>81.37796969696969</v>
      </c>
      <c r="BP53" s="464">
        <f>IF($I$14="no",BN53/(($I$7*$I$10)/100),BN53/$BN$1)</f>
        <v>0.38552911144936913</v>
      </c>
      <c r="BQ53" s="47">
        <f>(BN53/$BN$13)*100</f>
        <v>2.2999666700008348</v>
      </c>
      <c r="BR53" s="47">
        <f>(BN53/$BN$58)*100</f>
        <v>13.884914829801701</v>
      </c>
      <c r="BS53" s="29" t="s">
        <v>38</v>
      </c>
      <c r="BT53" s="386">
        <f>$FM$20+$FP$20+$FS$20+$FV$20</f>
        <v>77556</v>
      </c>
      <c r="BU53" s="460">
        <f>BT53/$I$7</f>
        <v>64.63</v>
      </c>
      <c r="BV53" s="464">
        <f>IF($I$14="no",BT53/(($I$7*$I$10)/100),BT53/$BT$1)</f>
        <v>0.30315386467257777</v>
      </c>
      <c r="BW53" s="47">
        <f>(BT53/$BT$13)*100</f>
        <v>1.809779873085669</v>
      </c>
      <c r="BX53" s="47">
        <f>(BT53/$BT$58)*100</f>
        <v>9.265532014766865</v>
      </c>
      <c r="BY53" s="386">
        <f>$FM$21+$FP$21+$FS$21+$FV$21</f>
        <v>62044.8</v>
      </c>
      <c r="BZ53" s="460">
        <f>BY53/$I$7</f>
        <v>51.704</v>
      </c>
      <c r="CA53" s="464">
        <f>IF($I$14="no",BY53/(($I$7*$I$10)/100),BY53/$BY$1)</f>
        <v>0.24012187300798243</v>
      </c>
      <c r="CB53" s="47">
        <f>(BY53/$BY$13)*100</f>
        <v>1.4344648003670921</v>
      </c>
      <c r="CC53" s="47">
        <f>(BY53/$BY$58)*100</f>
        <v>7.916452907295128</v>
      </c>
      <c r="CD53" s="386">
        <f>$FM$22+$FP$22+$FS$22+$FV$22</f>
        <v>46533.6</v>
      </c>
      <c r="CE53" s="460">
        <f>CD53/$I$7</f>
        <v>38.778</v>
      </c>
      <c r="CF53" s="464">
        <f>IF($I$14="no",CD53/(($I$7*$I$10)/100),CD53/$CD$1)</f>
        <v>0.17830832154058102</v>
      </c>
      <c r="CG53" s="47">
        <f>(CD53/$CD$13)*100</f>
        <v>1.0659150302419838</v>
      </c>
      <c r="CH53" s="47">
        <f>(CD53/$CD$58)*100</f>
        <v>6.370519865584461</v>
      </c>
      <c r="CI53" s="386">
        <f>$FM$23+$FP$23+$FS$23+$FV$23</f>
        <v>31022.4</v>
      </c>
      <c r="CJ53" s="460">
        <f>CI53/$I$7</f>
        <v>25.852</v>
      </c>
      <c r="CK53" s="464">
        <f>IF($I$14="no",CI53/(($I$7*$I$10)/100),CI53/$CI$1)</f>
        <v>0.11769526174295776</v>
      </c>
      <c r="CL53" s="47">
        <f>(CI53/$CI$13)*100</f>
        <v>0.7040444019919126</v>
      </c>
      <c r="CM53" s="47">
        <f>(CI53/$CI$58)*100</f>
        <v>4.581255371816327</v>
      </c>
      <c r="CN53" s="386">
        <f>$FM$24+$FP$24+$FS$24+$FV$24</f>
        <v>15511.2</v>
      </c>
      <c r="CO53" s="460">
        <f>CN53/$I$7</f>
        <v>12.926</v>
      </c>
      <c r="CP53" s="464">
        <f>IF($I$14="no",CN53/(($I$7*$I$10)/100),CN53/$CN$1)</f>
        <v>0.05826498106087017</v>
      </c>
      <c r="CQ53" s="47">
        <f>(CN53/$CN$13)*100</f>
        <v>0.3487675699389554</v>
      </c>
      <c r="CR53" s="47">
        <f>(CN53/$CN$58)*100</f>
        <v>2.3750875665453774</v>
      </c>
      <c r="CS53" s="29" t="s">
        <v>38</v>
      </c>
      <c r="CT53" s="386">
        <f>$FM$25+$FP$25+$FS$25+$FV$25</f>
        <v>0</v>
      </c>
      <c r="CU53" s="460">
        <f>CT53/$I$7</f>
        <v>0</v>
      </c>
      <c r="CV53" s="464">
        <f>IF($I$14="no",CT53/(($I$7*$I$10)/100),CT53/$CT$1)</f>
        <v>0</v>
      </c>
      <c r="CW53" s="47">
        <f>(CT53/$CT$13)*100</f>
        <v>0</v>
      </c>
      <c r="CX53" s="47">
        <f>(CT53/$CT$58)*100</f>
        <v>0</v>
      </c>
      <c r="CY53" s="386">
        <f>$FM$26+$FP$26+$FS$26+$FV$26</f>
        <v>0</v>
      </c>
      <c r="CZ53" s="460">
        <f>CY53/$I$7</f>
        <v>0</v>
      </c>
      <c r="DA53" s="464">
        <f>IF($I$14="no",CY53/(($I$7*$I$10)/100),CY53/$CY$1)</f>
        <v>0</v>
      </c>
      <c r="DB53" s="47">
        <f>(CY53/$CY$13)*100</f>
        <v>0</v>
      </c>
      <c r="DC53" s="47">
        <f>(CY53/$CY$58)*100</f>
        <v>0</v>
      </c>
      <c r="DD53" s="386">
        <f>$FM$27+$FP$27+$FS$27+$FV$27</f>
        <v>0</v>
      </c>
      <c r="DE53" s="460">
        <f>DD53/$I$7</f>
        <v>0</v>
      </c>
      <c r="DF53" s="464">
        <f>IF($I$14="no",DD53/(($I$7*$I$10)/100),DD53/$DD$1)</f>
        <v>0</v>
      </c>
      <c r="DG53" s="47">
        <f>(DD53/$DD$13)*100</f>
        <v>0</v>
      </c>
      <c r="DH53" s="47">
        <f>(DD53/$DD$58)*100</f>
        <v>0</v>
      </c>
      <c r="DI53" s="386">
        <f>$FM$28+$FP$28+$FS$28+$FV$28</f>
        <v>0</v>
      </c>
      <c r="DJ53" s="460">
        <f>DI53/$I$7</f>
        <v>0</v>
      </c>
      <c r="DK53" s="464">
        <f>IF($I$14="no",DI53/(($I$7*$I$10)/100),DI53/$DI$1)</f>
        <v>0</v>
      </c>
      <c r="DL53" s="47">
        <f>(DI53/$DI$13)*100</f>
        <v>0</v>
      </c>
      <c r="DM53" s="47">
        <f>(DI53/$DI$58)*100</f>
        <v>0</v>
      </c>
      <c r="DN53" s="457">
        <f>$FM$29+$FP$29+$FS$29+$FV$29</f>
        <v>0</v>
      </c>
      <c r="DO53" s="460">
        <f>DN53/$I$7</f>
        <v>0</v>
      </c>
      <c r="DP53" s="464">
        <f>IF($I$14="no",DN53/(($I$7*$I$10)/100),DN53/$DN$1)</f>
        <v>0</v>
      </c>
      <c r="DQ53" s="47">
        <f>(DN53/$DN$13)*100</f>
        <v>0</v>
      </c>
      <c r="DR53" s="50">
        <f>(DN53/$DN$58)*100</f>
        <v>0</v>
      </c>
      <c r="DT53" s="62">
        <v>15</v>
      </c>
      <c r="DU53" s="107">
        <f t="shared" si="37"/>
        <v>805852.891748654</v>
      </c>
      <c r="DV53" s="107">
        <f t="shared" si="112"/>
        <v>655192.8877124044</v>
      </c>
      <c r="DW53" s="107">
        <f t="shared" si="112"/>
        <v>5114.050707494147</v>
      </c>
      <c r="DX53" s="107">
        <f t="shared" si="112"/>
        <v>5348.879566511735</v>
      </c>
      <c r="DY53" s="107">
        <f t="shared" si="112"/>
        <v>2870.1304991038583</v>
      </c>
      <c r="DZ53" s="10">
        <f t="shared" si="112"/>
        <v>60960.31737841986</v>
      </c>
      <c r="EA53" s="79">
        <f t="shared" si="39"/>
        <v>198287.26064155978</v>
      </c>
      <c r="EB53" s="81"/>
      <c r="EC53" s="75"/>
      <c r="ED53" s="81"/>
      <c r="EE53" s="81"/>
      <c r="EF53" s="81"/>
      <c r="EG53" s="81"/>
      <c r="EH53" s="62">
        <v>16</v>
      </c>
      <c r="EI53" s="107">
        <f t="shared" si="91"/>
        <v>4028.1083993227094</v>
      </c>
      <c r="EJ53" s="107">
        <f t="shared" si="92"/>
        <v>2169.6356768091073</v>
      </c>
      <c r="EK53" s="107">
        <f t="shared" si="93"/>
        <v>6197.744076131817</v>
      </c>
      <c r="EL53" s="107">
        <f>IF($H$97&lt;$EH38,0,-PPMT($I$97,$EH38,$H$97,($EK$14*$I$83),0,0))</f>
        <v>8145.757276641309</v>
      </c>
      <c r="EM53" s="107">
        <f>IF($H$97&lt;$EH38,0,-IPMT($I$97,$EH38,$H$97,($EK$14*$I$83),0,0))</f>
        <v>4387.5</v>
      </c>
      <c r="EN53" s="107">
        <f t="shared" si="52"/>
        <v>12533.257276641309</v>
      </c>
      <c r="EO53" s="107">
        <f t="shared" si="94"/>
        <v>8744.868894569852</v>
      </c>
      <c r="EP53" s="107">
        <f t="shared" si="95"/>
        <v>4710.19586907521</v>
      </c>
      <c r="EQ53" s="107">
        <f t="shared" si="96"/>
        <v>13455.064763645063</v>
      </c>
      <c r="ER53" s="107">
        <f t="shared" si="97"/>
        <v>1230.4592596296898</v>
      </c>
      <c r="ES53" s="107">
        <f t="shared" si="98"/>
        <v>662.7548327650701</v>
      </c>
      <c r="ET53" s="107">
        <f t="shared" si="99"/>
        <v>1893.21409239476</v>
      </c>
      <c r="EU53" s="107">
        <f t="shared" si="100"/>
        <v>11393.141292867496</v>
      </c>
      <c r="EV53" s="107">
        <f t="shared" si="101"/>
        <v>6136.618821898797</v>
      </c>
      <c r="EW53" s="107">
        <f t="shared" si="102"/>
        <v>17529.760114766294</v>
      </c>
      <c r="EX53" s="107">
        <f t="shared" si="103"/>
        <v>2050.765432716149</v>
      </c>
      <c r="EY53" s="107">
        <f t="shared" si="104"/>
        <v>1104.5913879417838</v>
      </c>
      <c r="EZ53" s="107">
        <f t="shared" si="105"/>
        <v>3155.356820657933</v>
      </c>
      <c r="FA53" s="107">
        <f t="shared" si="106"/>
        <v>2179.887700701981</v>
      </c>
      <c r="FB53" s="107">
        <f t="shared" si="107"/>
        <v>1174.13973458997</v>
      </c>
      <c r="FC53" s="107">
        <f t="shared" si="108"/>
        <v>3354.027435291951</v>
      </c>
      <c r="FD53" s="107">
        <f>IF($H$103&lt;$EH38,0,-PPMT($I$103,$EH38,$H$103,($EW$14*$I$89),0,0))</f>
        <v>29287.130393093445</v>
      </c>
      <c r="FE53" s="107">
        <f>IF($H$103&lt;$EH38,0,-IPMT($I$103,$EH38,$H$103,($EW$14*$I$89),0,0))</f>
        <v>15774.75</v>
      </c>
      <c r="FF53" s="79">
        <f t="shared" si="53"/>
        <v>45061.880393093445</v>
      </c>
      <c r="FH53" s="62">
        <v>16</v>
      </c>
      <c r="FI53" s="107">
        <v>0</v>
      </c>
      <c r="FJ53" s="107">
        <v>0</v>
      </c>
      <c r="FK53" s="107">
        <v>0</v>
      </c>
      <c r="FL53" s="107">
        <v>0</v>
      </c>
      <c r="FM53" s="107">
        <v>0</v>
      </c>
      <c r="FN53" s="107">
        <v>0</v>
      </c>
      <c r="FO53" s="107">
        <v>0</v>
      </c>
      <c r="FP53" s="107">
        <v>0</v>
      </c>
      <c r="FQ53" s="107">
        <v>0</v>
      </c>
      <c r="FR53" s="107">
        <v>0</v>
      </c>
      <c r="FS53" s="107">
        <v>0</v>
      </c>
      <c r="FT53" s="107">
        <v>0</v>
      </c>
      <c r="FU53" s="107">
        <v>0</v>
      </c>
      <c r="FV53" s="107">
        <v>0</v>
      </c>
      <c r="FW53" s="107">
        <v>0</v>
      </c>
      <c r="FX53" s="107">
        <v>0</v>
      </c>
      <c r="FY53" s="107">
        <v>0</v>
      </c>
      <c r="FZ53" s="107">
        <v>0</v>
      </c>
      <c r="GA53" s="107">
        <v>0</v>
      </c>
      <c r="GB53" s="107">
        <v>0</v>
      </c>
      <c r="GC53" s="107">
        <v>0</v>
      </c>
      <c r="GD53" s="107">
        <v>0</v>
      </c>
      <c r="GE53" s="107">
        <v>0</v>
      </c>
      <c r="GF53" s="107">
        <v>0</v>
      </c>
      <c r="GG53" s="107">
        <v>0</v>
      </c>
      <c r="GH53" s="107">
        <v>0</v>
      </c>
      <c r="GI53" s="107">
        <v>0</v>
      </c>
      <c r="GJ53" s="107">
        <v>0</v>
      </c>
      <c r="GK53" s="107">
        <v>0</v>
      </c>
      <c r="GL53" s="107">
        <v>0</v>
      </c>
      <c r="GM53" s="107">
        <v>0</v>
      </c>
      <c r="GN53" s="107">
        <v>0</v>
      </c>
      <c r="GO53" s="107">
        <v>0</v>
      </c>
      <c r="GP53" s="107">
        <v>0</v>
      </c>
      <c r="GQ53" s="107">
        <v>0</v>
      </c>
      <c r="GR53" s="107">
        <v>0</v>
      </c>
      <c r="GS53" s="107">
        <v>0</v>
      </c>
      <c r="GT53" s="107">
        <v>0</v>
      </c>
      <c r="GU53" s="107">
        <v>0</v>
      </c>
      <c r="GV53" s="107">
        <v>0</v>
      </c>
      <c r="GW53" s="107">
        <v>0</v>
      </c>
      <c r="GX53" s="107">
        <v>0</v>
      </c>
      <c r="GY53" s="107">
        <v>0</v>
      </c>
      <c r="GZ53" s="107">
        <v>0</v>
      </c>
      <c r="HA53" s="107">
        <v>0</v>
      </c>
      <c r="HB53" s="107">
        <v>0</v>
      </c>
      <c r="HC53" s="107">
        <f t="shared" si="75"/>
        <v>10</v>
      </c>
      <c r="HD53" s="107">
        <v>0</v>
      </c>
      <c r="HE53" s="107">
        <v>0</v>
      </c>
      <c r="HF53" s="107">
        <v>0</v>
      </c>
      <c r="HG53" s="107">
        <v>0</v>
      </c>
      <c r="HH53" s="107">
        <f t="shared" si="73"/>
        <v>0</v>
      </c>
      <c r="HI53" s="107">
        <f t="shared" si="74"/>
        <v>0</v>
      </c>
      <c r="HJ53" s="107">
        <f t="shared" si="78"/>
        <v>15</v>
      </c>
      <c r="HK53" s="107">
        <v>0</v>
      </c>
      <c r="HL53" s="107">
        <v>0</v>
      </c>
      <c r="HM53" s="107">
        <v>0</v>
      </c>
      <c r="HN53" s="107">
        <v>0</v>
      </c>
      <c r="HO53" s="107">
        <f t="shared" si="76"/>
        <v>0</v>
      </c>
      <c r="HP53" s="107">
        <f t="shared" si="77"/>
        <v>0</v>
      </c>
      <c r="HQ53" s="107">
        <f t="shared" si="88"/>
        <v>22</v>
      </c>
      <c r="HR53" s="107">
        <v>0</v>
      </c>
      <c r="HS53" s="107">
        <v>0</v>
      </c>
      <c r="HT53" s="107">
        <v>0</v>
      </c>
      <c r="HU53" s="107">
        <v>0</v>
      </c>
      <c r="HV53" s="107">
        <f t="shared" si="79"/>
        <v>0</v>
      </c>
      <c r="HW53" s="107">
        <f t="shared" si="80"/>
        <v>0</v>
      </c>
      <c r="HX53" s="107">
        <f t="shared" si="109"/>
        <v>34</v>
      </c>
      <c r="HY53" s="107">
        <v>0</v>
      </c>
      <c r="HZ53" s="107">
        <v>0</v>
      </c>
      <c r="IA53" s="107">
        <v>0</v>
      </c>
      <c r="IB53" s="107">
        <v>0</v>
      </c>
      <c r="IC53" s="107">
        <f t="shared" si="89"/>
        <v>0</v>
      </c>
      <c r="ID53" s="107">
        <f t="shared" si="90"/>
        <v>0</v>
      </c>
      <c r="IE53" s="107">
        <f t="shared" si="113"/>
        <v>51</v>
      </c>
      <c r="IF53" s="107">
        <v>0</v>
      </c>
      <c r="IG53" s="107">
        <v>0</v>
      </c>
      <c r="IH53" s="107">
        <v>0</v>
      </c>
      <c r="II53" s="107">
        <v>0</v>
      </c>
      <c r="IJ53" s="107">
        <f t="shared" si="110"/>
        <v>540</v>
      </c>
      <c r="IK53" s="107">
        <f t="shared" si="111"/>
        <v>0</v>
      </c>
      <c r="IL53" s="107">
        <f t="shared" si="34"/>
        <v>0</v>
      </c>
      <c r="IM53" s="107">
        <f t="shared" si="35"/>
        <v>0</v>
      </c>
      <c r="IN53" s="107">
        <f t="shared" si="36"/>
        <v>540</v>
      </c>
      <c r="IO53" s="27">
        <f t="shared" si="36"/>
        <v>0</v>
      </c>
    </row>
    <row r="54" spans="1:249" ht="15.75">
      <c r="A54" s="480">
        <v>1</v>
      </c>
      <c r="B54" s="412" t="s">
        <v>295</v>
      </c>
      <c r="C54" s="413" t="s">
        <v>209</v>
      </c>
      <c r="D54" s="485">
        <v>20000</v>
      </c>
      <c r="E54" s="458">
        <f t="shared" si="114"/>
        <v>20000</v>
      </c>
      <c r="G54" s="396" t="s">
        <v>296</v>
      </c>
      <c r="H54" s="440"/>
      <c r="I54" s="500">
        <v>0.15</v>
      </c>
      <c r="J54" s="203"/>
      <c r="K54" s="254">
        <f>IF(($T$3+$Y$3+0.5*$AD$3)&gt;=$E$163,2.5,100)</f>
        <v>100</v>
      </c>
      <c r="L54" s="254" t="s">
        <v>297</v>
      </c>
      <c r="M54" s="10">
        <f>$EA$69</f>
        <v>611118.2917067478</v>
      </c>
      <c r="N54" s="283"/>
      <c r="O54" s="254">
        <f>($Y$2/305)/2.204622622</f>
        <v>28.989757599355734</v>
      </c>
      <c r="P54" s="90">
        <f t="shared" si="115"/>
        <v>0.0564</v>
      </c>
      <c r="Q54" s="10">
        <f>IF($I$14="yes",P54*((($Y$1*100)-($I$7*$I$10))/2.204622622),0)</f>
        <v>5924.9323987023845</v>
      </c>
      <c r="R54" s="81"/>
      <c r="S54" s="29" t="s">
        <v>39</v>
      </c>
      <c r="T54" s="386">
        <f>$GM$10</f>
        <v>175275</v>
      </c>
      <c r="U54" s="460">
        <f>T54/$I$7</f>
        <v>146.0625</v>
      </c>
      <c r="V54" s="464">
        <f>IF($I$14="no",T54/(($I$7*$I$10)/100),T54/$T$1)</f>
        <v>0.756800518134715</v>
      </c>
      <c r="W54" s="47">
        <f>(T54/$T$13)*100</f>
        <v>4.485733754330739</v>
      </c>
      <c r="X54" s="47">
        <f>(T54/$T$58)*100</f>
        <v>10.516752593275923</v>
      </c>
      <c r="Y54" s="386">
        <f>$GM$11</f>
        <v>116850</v>
      </c>
      <c r="Z54" s="460">
        <f>Y54/$I$7</f>
        <v>97.375</v>
      </c>
      <c r="AA54" s="464">
        <f>IF($I$14="no",Y54/(($I$7*$I$10)/100),Y54/$Y$1)</f>
        <v>0.4995382957984918</v>
      </c>
      <c r="AB54" s="47">
        <f>(Y54/$Y$13)*100</f>
        <v>2.96309099306302</v>
      </c>
      <c r="AC54" s="47">
        <f>(Y54/$Y$58)*100</f>
        <v>9.288769312416246</v>
      </c>
      <c r="AD54" s="386">
        <f>$GM$12</f>
        <v>58425</v>
      </c>
      <c r="AE54" s="460">
        <f>AD54/$I$7</f>
        <v>48.6875</v>
      </c>
      <c r="AF54" s="464">
        <f>IF($I$14="no",AD54/(($I$7*$I$10)/100),AD54/$AD$1)</f>
        <v>0.2472961860388573</v>
      </c>
      <c r="AG54" s="47">
        <f>(AD54/$AD$13)*100</f>
        <v>1.4679618749188061</v>
      </c>
      <c r="AH54" s="47">
        <f>(AD54/$AD$58)*100</f>
        <v>5.827262626467111</v>
      </c>
      <c r="AI54" s="386">
        <f>$GM$13</f>
        <v>0</v>
      </c>
      <c r="AJ54" s="460">
        <f>AI54/$I$7</f>
        <v>0</v>
      </c>
      <c r="AK54" s="464">
        <f>IF($I$14="no",AI54/(($I$7*$I$10)/100),AI54/$AI$1)</f>
        <v>0</v>
      </c>
      <c r="AL54" s="47">
        <f>(AI54/$AI$13)*100</f>
        <v>0</v>
      </c>
      <c r="AM54" s="47">
        <f>(AI54/$AI$58)*100</f>
        <v>0</v>
      </c>
      <c r="AN54" s="386">
        <f>$GM$14</f>
        <v>0</v>
      </c>
      <c r="AO54" s="460">
        <f>AN54/$I$7</f>
        <v>0</v>
      </c>
      <c r="AP54" s="464">
        <f>IF($I$14="no",AN54/(($I$7*$I$10)/100),AN54/$AN$1)</f>
        <v>0</v>
      </c>
      <c r="AQ54" s="47">
        <f>(AN54/$AN$13)*100</f>
        <v>0</v>
      </c>
      <c r="AR54" s="47">
        <f>(AN54/$AN$58)*100</f>
        <v>0</v>
      </c>
      <c r="AS54" s="29" t="s">
        <v>39</v>
      </c>
      <c r="AT54" s="386">
        <f>$GM$15</f>
        <v>87637.5</v>
      </c>
      <c r="AU54" s="460">
        <f>AT54/$I$7</f>
        <v>73.03125</v>
      </c>
      <c r="AV54" s="464">
        <f>IF($I$14="no",AT54/(($I$7*$I$10)/100),AT54/$AT$1)</f>
        <v>0.3600348626840952</v>
      </c>
      <c r="AW54" s="47">
        <f>(AT54/$AT$13)*100</f>
        <v>2.141843883710275</v>
      </c>
      <c r="AX54" s="47">
        <f>(AT54/$AT$58)*100</f>
        <v>9.903945135047119</v>
      </c>
      <c r="AY54" s="386">
        <f>$GM$16</f>
        <v>58425</v>
      </c>
      <c r="AZ54" s="460">
        <f>AY54/$I$7</f>
        <v>48.6875</v>
      </c>
      <c r="BA54" s="464">
        <f>IF($I$14="no",AY54/(($I$7*$I$10)/100),AY54/$AY$1)</f>
        <v>0.23764677404890774</v>
      </c>
      <c r="BB54" s="47">
        <f>(AY54/$AY$13)*100</f>
        <v>1.4147662903454115</v>
      </c>
      <c r="BC54" s="47">
        <f>(AY54/$AY$58)*100</f>
        <v>7.019581399972841</v>
      </c>
      <c r="BD54" s="386">
        <f>$GM$17</f>
        <v>29212.5</v>
      </c>
      <c r="BE54" s="460">
        <f>BD54/$I$7</f>
        <v>24.34375</v>
      </c>
      <c r="BF54" s="464">
        <f>IF($I$14="no",BD54/(($I$7*$I$10)/100),BD54/$BD$1)</f>
        <v>0.11764691784599392</v>
      </c>
      <c r="BG54" s="47">
        <f>(BD54/$BD$13)*100</f>
        <v>0.7008740984520592</v>
      </c>
      <c r="BH54" s="47">
        <f>(BD54/$BD$58)*100</f>
        <v>3.7463713376182843</v>
      </c>
      <c r="BI54" s="386">
        <f>$GM$18</f>
        <v>0</v>
      </c>
      <c r="BJ54" s="460">
        <f>BI54/$I$7</f>
        <v>0</v>
      </c>
      <c r="BK54" s="464">
        <f>IF($I$14="no",BI54/(($I$7*$I$10)/100),BI54/$BI$1)</f>
        <v>0</v>
      </c>
      <c r="BL54" s="47">
        <f>(BI54/$BI$13)*100</f>
        <v>0</v>
      </c>
      <c r="BM54" s="47">
        <f>(BI54/$BI$58)*100</f>
        <v>0</v>
      </c>
      <c r="BN54" s="386">
        <f>$GM$19</f>
        <v>0</v>
      </c>
      <c r="BO54" s="460">
        <f>BN54/$I$7</f>
        <v>0</v>
      </c>
      <c r="BP54" s="464">
        <f>IF($I$14="no",BN54/(($I$7*$I$10)/100),BN54/$BN$1)</f>
        <v>0</v>
      </c>
      <c r="BQ54" s="47">
        <f>(BN54/$BN$13)*100</f>
        <v>0</v>
      </c>
      <c r="BR54" s="47">
        <f>(BN54/$BN$58)*100</f>
        <v>0</v>
      </c>
      <c r="BS54" s="29" t="s">
        <v>39</v>
      </c>
      <c r="BT54" s="386">
        <f>$GM$20</f>
        <v>87637.5</v>
      </c>
      <c r="BU54" s="460">
        <f>BT54/$I$7</f>
        <v>73.03125</v>
      </c>
      <c r="BV54" s="464">
        <f>IF($I$14="no",BT54/(($I$7*$I$10)/100),BT54/$BT$1)</f>
        <v>0.34256081818612405</v>
      </c>
      <c r="BW54" s="47">
        <f>(BT54/$BT$13)*100</f>
        <v>2.0450330551800677</v>
      </c>
      <c r="BX54" s="47">
        <f>(BT54/$BT$58)*100</f>
        <v>10.46995799092438</v>
      </c>
      <c r="BY54" s="386">
        <f>$GM$21</f>
        <v>58425</v>
      </c>
      <c r="BZ54" s="460">
        <f>BY54/$I$7</f>
        <v>48.6875</v>
      </c>
      <c r="CA54" s="464">
        <f>IF($I$14="no",BY54/(($I$7*$I$10)/100),BY54/$BY$1)</f>
        <v>0.22611275127796968</v>
      </c>
      <c r="CB54" s="47">
        <f>(BY54/$BY$13)*100</f>
        <v>1.3507756647043323</v>
      </c>
      <c r="CC54" s="47">
        <f>(BY54/$BY$58)*100</f>
        <v>7.4545934729214665</v>
      </c>
      <c r="CD54" s="386">
        <f>$GM$22</f>
        <v>29212.5</v>
      </c>
      <c r="CE54" s="460">
        <f>CD54/$I$7</f>
        <v>24.34375</v>
      </c>
      <c r="CF54" s="464">
        <f>IF($I$14="no",CD54/(($I$7*$I$10)/100),CD54/$CD$1)</f>
        <v>0.11193700558315331</v>
      </c>
      <c r="CG54" s="47">
        <f>(CD54/$CD$13)*100</f>
        <v>0.6691518133336762</v>
      </c>
      <c r="CH54" s="47">
        <f>(CD54/$CD$58)*100</f>
        <v>3.9992352101145427</v>
      </c>
      <c r="CI54" s="386">
        <f>$GM$23</f>
        <v>0</v>
      </c>
      <c r="CJ54" s="460">
        <f>CI54/$I$7</f>
        <v>0</v>
      </c>
      <c r="CK54" s="464">
        <f>IF($I$14="no",CI54/(($I$7*$I$10)/100),CI54/$CI$1)</f>
        <v>0</v>
      </c>
      <c r="CL54" s="47">
        <f>(CI54/$CI$13)*100</f>
        <v>0</v>
      </c>
      <c r="CM54" s="47">
        <f>(CI54/$CI$58)*100</f>
        <v>0</v>
      </c>
      <c r="CN54" s="386">
        <f>$GM$24</f>
        <v>0</v>
      </c>
      <c r="CO54" s="460">
        <f>CN54/$I$7</f>
        <v>0</v>
      </c>
      <c r="CP54" s="464">
        <f>IF($I$14="no",CN54/(($I$7*$I$10)/100),CN54/$CN$1)</f>
        <v>0</v>
      </c>
      <c r="CQ54" s="47">
        <f>(CN54/$CN$13)*100</f>
        <v>0</v>
      </c>
      <c r="CR54" s="47">
        <f>(CN54/$CN$58)*100</f>
        <v>0</v>
      </c>
      <c r="CS54" s="29" t="s">
        <v>39</v>
      </c>
      <c r="CT54" s="386">
        <f>$GM$25</f>
        <v>87637.5</v>
      </c>
      <c r="CU54" s="460">
        <f>CT54/$I$7</f>
        <v>73.03125</v>
      </c>
      <c r="CV54" s="464">
        <f>IF($I$14="no",CT54/(($I$7*$I$10)/100),CT54/$CT$1)</f>
        <v>0.32593486442259095</v>
      </c>
      <c r="CW54" s="47">
        <f>(CT54/$CT$13)*100</f>
        <v>1.9522887921747298</v>
      </c>
      <c r="CX54" s="47">
        <f>(CT54/$CT$58)*100</f>
        <v>11.95785778086414</v>
      </c>
      <c r="CY54" s="386">
        <f>$GM$26</f>
        <v>58425</v>
      </c>
      <c r="CZ54" s="460">
        <f>CY54/$I$7</f>
        <v>48.6875</v>
      </c>
      <c r="DA54" s="464">
        <f>IF($I$14="no",CY54/(($I$7*$I$10)/100),CY54/$CY$1)</f>
        <v>0.21513852437134715</v>
      </c>
      <c r="DB54" s="47">
        <f>(CY54/$CY$13)*100</f>
        <v>1.2894768507239525</v>
      </c>
      <c r="DC54" s="47">
        <f>(CY54/$CY$58)*100</f>
        <v>8.40520863327543</v>
      </c>
      <c r="DD54" s="386">
        <f>$GM$27</f>
        <v>29212.5</v>
      </c>
      <c r="DE54" s="460">
        <f>DD54/$I$7</f>
        <v>24.34375</v>
      </c>
      <c r="DF54" s="464">
        <f>IF($I$14="no",DD54/(($I$7*$I$10)/100),DD54/$DD$1)</f>
        <v>0.10650421998581541</v>
      </c>
      <c r="DG54" s="47">
        <f>(DD54/$DD$13)*100</f>
        <v>0.6387658498091814</v>
      </c>
      <c r="DH54" s="47">
        <f>(DD54/$DD$58)*100</f>
        <v>4.444161437603042</v>
      </c>
      <c r="DI54" s="386">
        <f>$GM$28</f>
        <v>0</v>
      </c>
      <c r="DJ54" s="460">
        <f>DI54/$I$7</f>
        <v>0</v>
      </c>
      <c r="DK54" s="464">
        <f>IF($I$14="no",DI54/(($I$7*$I$10)/100),DI54/$DI$1)</f>
        <v>0</v>
      </c>
      <c r="DL54" s="47">
        <f>(DI54/$DI$13)*100</f>
        <v>0</v>
      </c>
      <c r="DM54" s="47">
        <f>(DI54/$DI$58)*100</f>
        <v>0</v>
      </c>
      <c r="DN54" s="457">
        <f>$GM$29</f>
        <v>0</v>
      </c>
      <c r="DO54" s="460">
        <f>DN54/$I$7</f>
        <v>0</v>
      </c>
      <c r="DP54" s="464">
        <f>IF($I$14="no",DN54/(($I$7*$I$10)/100),DN54/$DN$1)</f>
        <v>0</v>
      </c>
      <c r="DQ54" s="47">
        <f>(DN54/$DN$13)*100</f>
        <v>0</v>
      </c>
      <c r="DR54" s="50">
        <f>(DN54/$DN$58)*100</f>
        <v>0</v>
      </c>
      <c r="DT54" s="62">
        <v>16</v>
      </c>
      <c r="DU54" s="107">
        <f t="shared" si="37"/>
        <v>746218.2866437547</v>
      </c>
      <c r="DV54" s="107">
        <f t="shared" si="112"/>
        <v>602876.173594054</v>
      </c>
      <c r="DW54" s="107">
        <f t="shared" si="112"/>
        <v>4691.789639902887</v>
      </c>
      <c r="DX54" s="107">
        <f t="shared" si="112"/>
        <v>4907.2289601025095</v>
      </c>
      <c r="DY54" s="107">
        <f t="shared" si="112"/>
        <v>2633.1472468842735</v>
      </c>
      <c r="DZ54" s="10">
        <f t="shared" si="112"/>
        <v>62761.24443396755</v>
      </c>
      <c r="EA54" s="79">
        <f t="shared" si="39"/>
        <v>193871.1916367786</v>
      </c>
      <c r="EB54" s="81"/>
      <c r="EC54" s="75"/>
      <c r="ED54" s="81"/>
      <c r="EE54" s="81"/>
      <c r="EF54" s="81"/>
      <c r="EG54" s="81"/>
      <c r="EH54" s="62">
        <v>17</v>
      </c>
      <c r="EI54" s="107">
        <f t="shared" si="91"/>
        <v>4390.638155261753</v>
      </c>
      <c r="EJ54" s="107">
        <f t="shared" si="92"/>
        <v>1807.1059208700635</v>
      </c>
      <c r="EK54" s="107">
        <f t="shared" si="93"/>
        <v>6197.744076131817</v>
      </c>
      <c r="EL54" s="107">
        <f>IF($H$97&lt;$EH39,0,-PPMT($I$97,$EH39,$H$97,($EK$14*$I$83),0,0))</f>
        <v>8878.875431539027</v>
      </c>
      <c r="EM54" s="107">
        <f>IF($H$97&lt;$EH39,0,-IPMT($I$97,$EH39,$H$97,($EK$14*$I$83),0,0))</f>
        <v>3654.3818451022817</v>
      </c>
      <c r="EN54" s="107">
        <f t="shared" si="52"/>
        <v>12533.257276641309</v>
      </c>
      <c r="EO54" s="107">
        <f t="shared" si="94"/>
        <v>9531.907095081138</v>
      </c>
      <c r="EP54" s="107">
        <f t="shared" si="95"/>
        <v>3923.1576685639234</v>
      </c>
      <c r="EQ54" s="107">
        <f t="shared" si="96"/>
        <v>13455.064763645061</v>
      </c>
      <c r="ER54" s="107">
        <f t="shared" si="97"/>
        <v>1341.2005929963616</v>
      </c>
      <c r="ES54" s="107">
        <f t="shared" si="98"/>
        <v>552.013499398398</v>
      </c>
      <c r="ET54" s="107">
        <f t="shared" si="99"/>
        <v>1893.2140923947595</v>
      </c>
      <c r="EU54" s="107">
        <f t="shared" si="100"/>
        <v>12418.52400922557</v>
      </c>
      <c r="EV54" s="107">
        <f t="shared" si="101"/>
        <v>5111.236105540724</v>
      </c>
      <c r="EW54" s="107">
        <f t="shared" si="102"/>
        <v>17529.760114766294</v>
      </c>
      <c r="EX54" s="107">
        <f t="shared" si="103"/>
        <v>2235.334321660602</v>
      </c>
      <c r="EY54" s="107">
        <f t="shared" si="104"/>
        <v>920.0224989973302</v>
      </c>
      <c r="EZ54" s="107">
        <f t="shared" si="105"/>
        <v>3155.3568206579325</v>
      </c>
      <c r="FA54" s="107">
        <f t="shared" si="106"/>
        <v>2376.0775937651597</v>
      </c>
      <c r="FB54" s="107">
        <f t="shared" si="107"/>
        <v>977.9498415267911</v>
      </c>
      <c r="FC54" s="107">
        <f t="shared" si="108"/>
        <v>3354.027435291951</v>
      </c>
      <c r="FD54" s="107">
        <f>IF($H$103&lt;$EH39,0,-PPMT($I$103,$EH39,$H$103,($EW$14*$I$89),0,0))</f>
        <v>31922.972128471858</v>
      </c>
      <c r="FE54" s="107">
        <f>IF($H$103&lt;$EH39,0,-IPMT($I$103,$EH39,$H$103,($EW$14*$I$89),0,0))</f>
        <v>13138.908264621587</v>
      </c>
      <c r="FF54" s="79">
        <f t="shared" si="53"/>
        <v>45061.880393093445</v>
      </c>
      <c r="FH54" s="62">
        <v>17</v>
      </c>
      <c r="FI54" s="107">
        <v>0</v>
      </c>
      <c r="FJ54" s="107">
        <v>0</v>
      </c>
      <c r="FK54" s="107">
        <v>0</v>
      </c>
      <c r="FL54" s="107">
        <v>0</v>
      </c>
      <c r="FM54" s="107">
        <v>0</v>
      </c>
      <c r="FN54" s="107">
        <v>0</v>
      </c>
      <c r="FO54" s="107">
        <v>0</v>
      </c>
      <c r="FP54" s="107">
        <v>0</v>
      </c>
      <c r="FQ54" s="107">
        <v>0</v>
      </c>
      <c r="FR54" s="107">
        <v>0</v>
      </c>
      <c r="FS54" s="107">
        <v>0</v>
      </c>
      <c r="FT54" s="107">
        <v>0</v>
      </c>
      <c r="FU54" s="107">
        <v>0</v>
      </c>
      <c r="FV54" s="107">
        <v>0</v>
      </c>
      <c r="FW54" s="107">
        <v>0</v>
      </c>
      <c r="FX54" s="107">
        <v>0</v>
      </c>
      <c r="FY54" s="107">
        <v>0</v>
      </c>
      <c r="FZ54" s="107">
        <v>0</v>
      </c>
      <c r="GA54" s="107">
        <v>0</v>
      </c>
      <c r="GB54" s="107">
        <v>0</v>
      </c>
      <c r="GC54" s="107">
        <v>0</v>
      </c>
      <c r="GD54" s="107">
        <v>0</v>
      </c>
      <c r="GE54" s="107">
        <v>0</v>
      </c>
      <c r="GF54" s="107">
        <v>0</v>
      </c>
      <c r="GG54" s="107">
        <v>0</v>
      </c>
      <c r="GH54" s="107">
        <v>0</v>
      </c>
      <c r="GI54" s="107">
        <v>0</v>
      </c>
      <c r="GJ54" s="107">
        <v>0</v>
      </c>
      <c r="GK54" s="107">
        <v>0</v>
      </c>
      <c r="GL54" s="107">
        <v>0</v>
      </c>
      <c r="GM54" s="107">
        <v>0</v>
      </c>
      <c r="GN54" s="107">
        <v>0</v>
      </c>
      <c r="GO54" s="107">
        <v>0</v>
      </c>
      <c r="GP54" s="107">
        <v>0</v>
      </c>
      <c r="GQ54" s="107">
        <v>0</v>
      </c>
      <c r="GR54" s="107">
        <v>0</v>
      </c>
      <c r="GS54" s="107">
        <v>0</v>
      </c>
      <c r="GT54" s="107">
        <v>0</v>
      </c>
      <c r="GU54" s="107">
        <v>0</v>
      </c>
      <c r="GV54" s="107">
        <v>0</v>
      </c>
      <c r="GW54" s="107">
        <v>0</v>
      </c>
      <c r="GX54" s="107">
        <v>0</v>
      </c>
      <c r="GY54" s="107">
        <v>0</v>
      </c>
      <c r="GZ54" s="107">
        <v>0</v>
      </c>
      <c r="HA54" s="107">
        <v>0</v>
      </c>
      <c r="HB54" s="107">
        <v>0</v>
      </c>
      <c r="HC54" s="107">
        <v>0</v>
      </c>
      <c r="HD54" s="107">
        <v>0</v>
      </c>
      <c r="HE54" s="107">
        <v>0</v>
      </c>
      <c r="HF54" s="107">
        <v>0</v>
      </c>
      <c r="HG54" s="107">
        <v>0</v>
      </c>
      <c r="HH54" s="107">
        <v>0</v>
      </c>
      <c r="HI54" s="107">
        <v>0</v>
      </c>
      <c r="HJ54" s="107">
        <f t="shared" si="78"/>
        <v>10</v>
      </c>
      <c r="HK54" s="107">
        <v>0</v>
      </c>
      <c r="HL54" s="107">
        <v>0</v>
      </c>
      <c r="HM54" s="107">
        <v>0</v>
      </c>
      <c r="HN54" s="107">
        <v>0</v>
      </c>
      <c r="HO54" s="107">
        <f t="shared" si="76"/>
        <v>0</v>
      </c>
      <c r="HP54" s="107">
        <f t="shared" si="77"/>
        <v>0</v>
      </c>
      <c r="HQ54" s="107">
        <f t="shared" si="88"/>
        <v>15</v>
      </c>
      <c r="HR54" s="107">
        <v>0</v>
      </c>
      <c r="HS54" s="107">
        <v>0</v>
      </c>
      <c r="HT54" s="107">
        <v>0</v>
      </c>
      <c r="HU54" s="107">
        <v>0</v>
      </c>
      <c r="HV54" s="107">
        <f t="shared" si="79"/>
        <v>0</v>
      </c>
      <c r="HW54" s="107">
        <f t="shared" si="80"/>
        <v>0</v>
      </c>
      <c r="HX54" s="107">
        <f t="shared" si="109"/>
        <v>22</v>
      </c>
      <c r="HY54" s="107">
        <v>0</v>
      </c>
      <c r="HZ54" s="107">
        <v>0</v>
      </c>
      <c r="IA54" s="107">
        <v>0</v>
      </c>
      <c r="IB54" s="107">
        <v>0</v>
      </c>
      <c r="IC54" s="107">
        <f t="shared" si="89"/>
        <v>0</v>
      </c>
      <c r="ID54" s="107">
        <f t="shared" si="90"/>
        <v>0</v>
      </c>
      <c r="IE54" s="107">
        <f t="shared" si="113"/>
        <v>34</v>
      </c>
      <c r="IF54" s="107">
        <v>0</v>
      </c>
      <c r="IG54" s="107">
        <v>0</v>
      </c>
      <c r="IH54" s="107">
        <v>0</v>
      </c>
      <c r="II54" s="107">
        <v>0</v>
      </c>
      <c r="IJ54" s="107">
        <f t="shared" si="110"/>
        <v>0</v>
      </c>
      <c r="IK54" s="107">
        <f t="shared" si="111"/>
        <v>0</v>
      </c>
      <c r="IL54" s="107">
        <f t="shared" si="34"/>
        <v>0</v>
      </c>
      <c r="IM54" s="107">
        <f t="shared" si="35"/>
        <v>0</v>
      </c>
      <c r="IN54" s="107">
        <f t="shared" si="36"/>
        <v>0</v>
      </c>
      <c r="IO54" s="27">
        <f t="shared" si="36"/>
        <v>0</v>
      </c>
    </row>
    <row r="55" spans="1:249" ht="16.5" thickBot="1">
      <c r="A55" s="480">
        <v>6</v>
      </c>
      <c r="B55" s="412" t="s">
        <v>298</v>
      </c>
      <c r="C55" s="413" t="s">
        <v>209</v>
      </c>
      <c r="D55" s="485">
        <v>3250</v>
      </c>
      <c r="E55" s="458">
        <f t="shared" si="114"/>
        <v>19500</v>
      </c>
      <c r="G55" s="397" t="s">
        <v>299</v>
      </c>
      <c r="H55" s="443"/>
      <c r="I55" s="504">
        <v>0.05</v>
      </c>
      <c r="J55" s="203"/>
      <c r="K55" s="254">
        <f>IF(($T$3+$Y$3+$AD$3)&gt;=$E$163,3,100)</f>
        <v>100</v>
      </c>
      <c r="L55" s="254" t="s">
        <v>300</v>
      </c>
      <c r="M55" s="10">
        <f>$EA$70</f>
        <v>571870.2805476547</v>
      </c>
      <c r="N55" s="283"/>
      <c r="O55" s="254">
        <f>($AD$2/305)/2.204622622</f>
        <v>29.279655175349294</v>
      </c>
      <c r="P55" s="90">
        <f t="shared" si="115"/>
        <v>0.0565</v>
      </c>
      <c r="Q55" s="10">
        <f>IF($I$14="yes",P55*((($AD$1*100)-($I$7*$I$10))/2.204622622),0)</f>
        <v>11930.229571961636</v>
      </c>
      <c r="R55" s="81"/>
      <c r="S55" s="29" t="s">
        <v>301</v>
      </c>
      <c r="T55" s="386">
        <f>$GP$10</f>
        <v>0</v>
      </c>
      <c r="U55" s="460">
        <f>T55/$I$7</f>
        <v>0</v>
      </c>
      <c r="V55" s="464">
        <f>IF($I$14="no",T55/(($I$7*$I$10)/100),T55/$T$1)</f>
        <v>0</v>
      </c>
      <c r="W55" s="47">
        <f>(T55/$T$13)*100</f>
        <v>0</v>
      </c>
      <c r="X55" s="47">
        <f>(T55/$T$58)*100</f>
        <v>0</v>
      </c>
      <c r="Y55" s="386">
        <f>$GP$11</f>
        <v>0</v>
      </c>
      <c r="Z55" s="460">
        <f>Y55/$I$7</f>
        <v>0</v>
      </c>
      <c r="AA55" s="464">
        <f>IF($I$14="no",Y55/(($I$7*$I$10)/100),Y55/$Y$1)</f>
        <v>0</v>
      </c>
      <c r="AB55" s="47">
        <f>(Y55/$Y$13)*100</f>
        <v>0</v>
      </c>
      <c r="AC55" s="47">
        <f>(Y55/$Y$58)*100</f>
        <v>0</v>
      </c>
      <c r="AD55" s="386">
        <f>$GP$12</f>
        <v>0</v>
      </c>
      <c r="AE55" s="460">
        <f>AD55/$I$7</f>
        <v>0</v>
      </c>
      <c r="AF55" s="464">
        <f>IF($I$14="no",AD55/(($I$7*$I$10)/100),AD55/$AD$1)</f>
        <v>0</v>
      </c>
      <c r="AG55" s="47">
        <f>(AD55/$AD$13)*100</f>
        <v>0</v>
      </c>
      <c r="AH55" s="47">
        <f>(AD55/$AD$58)*100</f>
        <v>0</v>
      </c>
      <c r="AI55" s="386">
        <f>$GP$13</f>
        <v>0</v>
      </c>
      <c r="AJ55" s="460">
        <f>AI55/$I$7</f>
        <v>0</v>
      </c>
      <c r="AK55" s="464">
        <f>IF($I$14="no",AI55/(($I$7*$I$10)/100),AI55/$AI$1)</f>
        <v>0</v>
      </c>
      <c r="AL55" s="47">
        <f>(AI55/$AI$13)*100</f>
        <v>0</v>
      </c>
      <c r="AM55" s="47">
        <f>(AI55/$AI$58)*100</f>
        <v>0</v>
      </c>
      <c r="AN55" s="386">
        <f>$GP$14</f>
        <v>0</v>
      </c>
      <c r="AO55" s="460">
        <f>AN55/$I$7</f>
        <v>0</v>
      </c>
      <c r="AP55" s="464">
        <f>IF($I$14="no",AN55/(($I$7*$I$10)/100),AN55/$AN$1)</f>
        <v>0</v>
      </c>
      <c r="AQ55" s="47">
        <f>(AN55/$AN$13)*100</f>
        <v>0</v>
      </c>
      <c r="AR55" s="47">
        <f>(AN55/$AN$58)*100</f>
        <v>0</v>
      </c>
      <c r="AS55" s="29" t="s">
        <v>301</v>
      </c>
      <c r="AT55" s="386">
        <f>$GP$15</f>
        <v>16250</v>
      </c>
      <c r="AU55" s="460">
        <f>AT55/$I$7</f>
        <v>13.541666666666666</v>
      </c>
      <c r="AV55" s="464">
        <f>IF($I$14="no",AT55/(($I$7*$I$10)/100),AT55/$AT$1)</f>
        <v>0.06675871081005902</v>
      </c>
      <c r="AW55" s="47">
        <f>(AT55/$AT$13)*100</f>
        <v>0.39714691895925797</v>
      </c>
      <c r="AX55" s="47">
        <f>(AT55/$AT$58)*100</f>
        <v>1.8364182963288056</v>
      </c>
      <c r="AY55" s="386">
        <f>$GP$16</f>
        <v>13000</v>
      </c>
      <c r="AZ55" s="460">
        <f>AY55/$I$7</f>
        <v>10.833333333333334</v>
      </c>
      <c r="BA55" s="464">
        <f>IF($I$14="no",AY55/(($I$7*$I$10)/100),AY55/$AY$1)</f>
        <v>0.052878186780244765</v>
      </c>
      <c r="BB55" s="47">
        <f>(AY55/$AY$13)*100</f>
        <v>0.31479609370116135</v>
      </c>
      <c r="BC55" s="47">
        <f>(AY55/$AY$58)*100</f>
        <v>1.5619094257534776</v>
      </c>
      <c r="BD55" s="386">
        <f>$GP$17</f>
        <v>9750</v>
      </c>
      <c r="BE55" s="460">
        <f>BD55/$I$7</f>
        <v>8.125</v>
      </c>
      <c r="BF55" s="464">
        <f>IF($I$14="no",BD55/(($I$7*$I$10)/100),BD55/$BD$1)</f>
        <v>0.039265980282359975</v>
      </c>
      <c r="BG55" s="47">
        <f>(BD55/$BD$13)*100</f>
        <v>0.2339246028209697</v>
      </c>
      <c r="BH55" s="47">
        <f>(BD55/$BD$58)*100</f>
        <v>1.2503935144810705</v>
      </c>
      <c r="BI55" s="386">
        <f>$GP$18</f>
        <v>6500</v>
      </c>
      <c r="BJ55" s="460">
        <f>BI55/$I$7</f>
        <v>5.416666666666667</v>
      </c>
      <c r="BK55" s="464">
        <f>IF($I$14="no",BI55/(($I$7*$I$10)/100),BI55/$BI$1)</f>
        <v>0.025918138800237606</v>
      </c>
      <c r="BL55" s="47">
        <f>(BI55/$BI$13)*100</f>
        <v>0.15451374600421036</v>
      </c>
      <c r="BM55" s="47">
        <f>(BI55/$BI$58)*100</f>
        <v>0.8945104382320485</v>
      </c>
      <c r="BN55" s="386">
        <f>$GP$19</f>
        <v>3250</v>
      </c>
      <c r="BO55" s="460">
        <f>BN55/$I$7</f>
        <v>2.7083333333333335</v>
      </c>
      <c r="BP55" s="464">
        <f>IF($I$14="no",BN55/(($I$7*$I$10)/100),BN55/$BN$1)</f>
        <v>0.012830761782295844</v>
      </c>
      <c r="BQ55" s="47">
        <f>(BN55/$BN$13)*100</f>
        <v>0.07654499640522346</v>
      </c>
      <c r="BR55" s="47">
        <f>(BN55/$BN$58)*100</f>
        <v>0.46210267722428305</v>
      </c>
      <c r="BS55" s="29" t="s">
        <v>301</v>
      </c>
      <c r="BT55" s="386">
        <f>$GP$20</f>
        <v>69440.90909090909</v>
      </c>
      <c r="BU55" s="460">
        <f>BT55/$I$7</f>
        <v>57.86742424242424</v>
      </c>
      <c r="BV55" s="464">
        <f>IF($I$14="no",BT55/(($I$7*$I$10)/100),BT55/$BT$1)</f>
        <v>0.27143328636451375</v>
      </c>
      <c r="BW55" s="47">
        <f>(BT55/$BT$13)*100</f>
        <v>1.6204131162192343</v>
      </c>
      <c r="BX55" s="47">
        <f>(BT55/$BT$58)*100</f>
        <v>8.29603082052109</v>
      </c>
      <c r="BY55" s="386">
        <f>$GP$21</f>
        <v>60871.818181818184</v>
      </c>
      <c r="BZ55" s="460">
        <f>BY55/$I$7</f>
        <v>50.72651515151515</v>
      </c>
      <c r="CA55" s="464">
        <f>IF($I$14="no",BY55/(($I$7*$I$10)/100),BY55/$BY$1)</f>
        <v>0.2355822727322764</v>
      </c>
      <c r="CB55" s="47">
        <f>(BY55/$BY$13)*100</f>
        <v>1.407345668229469</v>
      </c>
      <c r="CC55" s="47">
        <f>(BY55/$BY$58)*100</f>
        <v>7.766789191322962</v>
      </c>
      <c r="CD55" s="386">
        <f>$GP$22</f>
        <v>52302.72727272727</v>
      </c>
      <c r="CE55" s="460">
        <f>CD55/$I$7</f>
        <v>43.58560606060606</v>
      </c>
      <c r="CF55" s="464">
        <f>IF($I$14="no",CD55/(($I$7*$I$10)/100),CD55/$CD$1)</f>
        <v>0.20041457166423338</v>
      </c>
      <c r="CG55" s="47">
        <f>(CD55/$CD$13)*100</f>
        <v>1.1980646913767112</v>
      </c>
      <c r="CH55" s="47">
        <f>(CD55/$CD$58)*100</f>
        <v>7.160322070829579</v>
      </c>
      <c r="CI55" s="386">
        <f>$GP$23</f>
        <v>43733.63636363636</v>
      </c>
      <c r="CJ55" s="460">
        <f>CI55/$I$7</f>
        <v>36.44469696969697</v>
      </c>
      <c r="CK55" s="464">
        <f>IF($I$14="no",CI55/(($I$7*$I$10)/100),CI55/$CI$1)</f>
        <v>0.16592016667922266</v>
      </c>
      <c r="CL55" s="47">
        <f>(CI55/$CI$13)*100</f>
        <v>0.992522237498328</v>
      </c>
      <c r="CM55" s="47">
        <f>(CI55/$CI$58)*100</f>
        <v>6.458396401309082</v>
      </c>
      <c r="CN55" s="386">
        <f>$GP$24</f>
        <v>35164.545454545456</v>
      </c>
      <c r="CO55" s="460">
        <f>CN55/$I$7</f>
        <v>29.30378787878788</v>
      </c>
      <c r="CP55" s="464">
        <f>IF($I$14="no",CN55/(($I$7*$I$10)/100),CN55/$CN$1)</f>
        <v>0.13208917265738299</v>
      </c>
      <c r="CQ55" s="47">
        <f>(CN55/$CN$13)*100</f>
        <v>0.7906708098786528</v>
      </c>
      <c r="CR55" s="47">
        <f>(CN55/$CN$58)*100</f>
        <v>5.3844238158434345</v>
      </c>
      <c r="CS55" s="29" t="s">
        <v>301</v>
      </c>
      <c r="CT55" s="386">
        <f>$GP$25</f>
        <v>42845.454545454544</v>
      </c>
      <c r="CU55" s="460">
        <f>CT55/$I$7</f>
        <v>35.70454545454545</v>
      </c>
      <c r="CV55" s="464">
        <f>IF($I$14="no",CT55/(($I$7*$I$10)/100),CT55/$CT$1)</f>
        <v>0.15934762422931975</v>
      </c>
      <c r="CW55" s="47">
        <f>(CT55/$CT$13)*100</f>
        <v>0.9544624242444473</v>
      </c>
      <c r="CX55" s="47">
        <f>(CT55/$CT$58)*100</f>
        <v>5.846125825257731</v>
      </c>
      <c r="CY55" s="386">
        <f>$GP$26</f>
        <v>34276.36363636363</v>
      </c>
      <c r="CZ55" s="460">
        <f>CY55/$I$7</f>
        <v>28.56363636363636</v>
      </c>
      <c r="DA55" s="464">
        <f>IF($I$14="no",CY55/(($I$7*$I$10)/100),CY55/$CY$1)</f>
        <v>0.1262159399836196</v>
      </c>
      <c r="DB55" s="47">
        <f>(CY55/$CY$13)*100</f>
        <v>0.7565011114435118</v>
      </c>
      <c r="DC55" s="47">
        <f>(CY55/$CY$58)*100</f>
        <v>4.931108045419797</v>
      </c>
      <c r="DD55" s="386">
        <f>$GP$27</f>
        <v>25707.272727272728</v>
      </c>
      <c r="DE55" s="460">
        <f>DD55/$I$7</f>
        <v>21.422727272727272</v>
      </c>
      <c r="DF55" s="464">
        <f>IF($I$14="no",DD55/(($I$7*$I$10)/100),DD55/$DD$1)</f>
        <v>0.09372470790862841</v>
      </c>
      <c r="DG55" s="47">
        <f>(DD55/$DD$13)*100</f>
        <v>0.5621199113363373</v>
      </c>
      <c r="DH55" s="47">
        <f>(DD55/$DD$58)*100</f>
        <v>3.9109035556864304</v>
      </c>
      <c r="DI55" s="386">
        <f>$GP$28</f>
        <v>17138.181818181816</v>
      </c>
      <c r="DJ55" s="460">
        <f>DI55/$I$7</f>
        <v>14.28181818181818</v>
      </c>
      <c r="DK55" s="464">
        <f>IF($I$14="no",DI55/(($I$7*$I$10)/100),DI55/$DI$1)</f>
        <v>0.061864493669061646</v>
      </c>
      <c r="DL55" s="47">
        <f>(DI55/$DI$13)*100</f>
        <v>0.3712729042110273</v>
      </c>
      <c r="DM55" s="47">
        <f>(DI55/$DI$58)*100</f>
        <v>2.7662685064761967</v>
      </c>
      <c r="DN55" s="457">
        <f>$GP$29</f>
        <v>8569.090909090908</v>
      </c>
      <c r="DO55" s="460">
        <f>DN55/$I$7</f>
        <v>7.14090909090909</v>
      </c>
      <c r="DP55" s="464">
        <f>IF($I$14="no",DN55/(($I$7*$I$10)/100),DN55/$DN$1)</f>
        <v>0.030625986964882005</v>
      </c>
      <c r="DQ55" s="47">
        <f>(DN55/$DN$13)*100</f>
        <v>0.18391461275897378</v>
      </c>
      <c r="DR55" s="50">
        <f>(DN55/$DN$58)*100</f>
        <v>1.4025331699243482</v>
      </c>
      <c r="DT55" s="62">
        <v>17</v>
      </c>
      <c r="DU55" s="107">
        <f t="shared" si="37"/>
        <v>691000.9456625386</v>
      </c>
      <c r="DV55" s="107">
        <f t="shared" si="112"/>
        <v>554751.8773857586</v>
      </c>
      <c r="DW55" s="107">
        <f t="shared" si="112"/>
        <v>4304.394165048519</v>
      </c>
      <c r="DX55" s="107">
        <f t="shared" si="112"/>
        <v>4502.044917525238</v>
      </c>
      <c r="DY55" s="107">
        <f t="shared" si="112"/>
        <v>2415.731419159884</v>
      </c>
      <c r="DZ55" s="10">
        <f t="shared" si="112"/>
        <v>54610.81717416634</v>
      </c>
      <c r="EA55" s="79">
        <f t="shared" si="39"/>
        <v>179637.71494921276</v>
      </c>
      <c r="EB55" s="81"/>
      <c r="EC55" s="75"/>
      <c r="ED55" s="81"/>
      <c r="EE55" s="81"/>
      <c r="EF55" s="81"/>
      <c r="EG55" s="81"/>
      <c r="EH55" s="62">
        <v>18</v>
      </c>
      <c r="EI55" s="107">
        <f t="shared" si="91"/>
        <v>4785.795589235311</v>
      </c>
      <c r="EJ55" s="107">
        <f t="shared" si="92"/>
        <v>1411.9484868965058</v>
      </c>
      <c r="EK55" s="107">
        <f t="shared" si="93"/>
        <v>6197.744076131817</v>
      </c>
      <c r="EL55" s="107">
        <f>IF($H$97&lt;$EH40,0,-PPMT($I$97,$EH40,$H$97,($EK$14*$I$83),0,0))</f>
        <v>9677.97422037754</v>
      </c>
      <c r="EM55" s="107">
        <f>IF($H$97&lt;$EH40,0,-IPMT($I$97,$EH40,$H$97,($EK$14*$I$83),0,0))</f>
        <v>2855.2830562637687</v>
      </c>
      <c r="EN55" s="107">
        <f t="shared" si="52"/>
        <v>12533.257276641309</v>
      </c>
      <c r="EO55" s="107">
        <f t="shared" si="94"/>
        <v>10389.778733638439</v>
      </c>
      <c r="EP55" s="107">
        <f t="shared" si="95"/>
        <v>3065.286030006622</v>
      </c>
      <c r="EQ55" s="107">
        <f t="shared" si="96"/>
        <v>13455.064763645061</v>
      </c>
      <c r="ER55" s="107">
        <f t="shared" si="97"/>
        <v>1461.9086463660344</v>
      </c>
      <c r="ES55" s="107">
        <f t="shared" si="98"/>
        <v>431.3054460287254</v>
      </c>
      <c r="ET55" s="107">
        <f t="shared" si="99"/>
        <v>1893.2140923947597</v>
      </c>
      <c r="EU55" s="107">
        <f t="shared" si="100"/>
        <v>13536.191170055874</v>
      </c>
      <c r="EV55" s="107">
        <f t="shared" si="101"/>
        <v>3993.56894471042</v>
      </c>
      <c r="EW55" s="107">
        <f t="shared" si="102"/>
        <v>17529.760114766294</v>
      </c>
      <c r="EX55" s="107">
        <f t="shared" si="103"/>
        <v>2436.514410610057</v>
      </c>
      <c r="EY55" s="107">
        <f t="shared" si="104"/>
        <v>718.8424100478758</v>
      </c>
      <c r="EZ55" s="107">
        <f t="shared" si="105"/>
        <v>3155.356820657933</v>
      </c>
      <c r="FA55" s="107">
        <f t="shared" si="106"/>
        <v>2589.924577204024</v>
      </c>
      <c r="FB55" s="107">
        <f t="shared" si="107"/>
        <v>764.1028580879268</v>
      </c>
      <c r="FC55" s="107">
        <f t="shared" si="108"/>
        <v>3354.027435291951</v>
      </c>
      <c r="FD55" s="107">
        <f>IF($H$103&lt;$EH40,0,-PPMT($I$103,$EH40,$H$103,($EW$14*$I$89),0,0))</f>
        <v>34796.039620034324</v>
      </c>
      <c r="FE55" s="107">
        <f>IF($H$103&lt;$EH40,0,-IPMT($I$103,$EH40,$H$103,($EW$14*$I$89),0,0))</f>
        <v>10265.840773059119</v>
      </c>
      <c r="FF55" s="79">
        <f t="shared" si="53"/>
        <v>45061.880393093445</v>
      </c>
      <c r="FH55" s="62">
        <v>18</v>
      </c>
      <c r="FI55" s="107">
        <v>0</v>
      </c>
      <c r="FJ55" s="107">
        <v>0</v>
      </c>
      <c r="FK55" s="107">
        <v>0</v>
      </c>
      <c r="FL55" s="107">
        <v>0</v>
      </c>
      <c r="FM55" s="107">
        <v>0</v>
      </c>
      <c r="FN55" s="107">
        <v>0</v>
      </c>
      <c r="FO55" s="107">
        <v>0</v>
      </c>
      <c r="FP55" s="107">
        <v>0</v>
      </c>
      <c r="FQ55" s="107">
        <v>0</v>
      </c>
      <c r="FR55" s="107">
        <v>0</v>
      </c>
      <c r="FS55" s="107">
        <v>0</v>
      </c>
      <c r="FT55" s="107">
        <v>0</v>
      </c>
      <c r="FU55" s="107">
        <v>0</v>
      </c>
      <c r="FV55" s="107">
        <v>0</v>
      </c>
      <c r="FW55" s="107">
        <v>0</v>
      </c>
      <c r="FX55" s="107">
        <v>0</v>
      </c>
      <c r="FY55" s="107">
        <v>0</v>
      </c>
      <c r="FZ55" s="107">
        <v>0</v>
      </c>
      <c r="GA55" s="107">
        <v>0</v>
      </c>
      <c r="GB55" s="107">
        <v>0</v>
      </c>
      <c r="GC55" s="107">
        <v>0</v>
      </c>
      <c r="GD55" s="107">
        <v>0</v>
      </c>
      <c r="GE55" s="107">
        <v>0</v>
      </c>
      <c r="GF55" s="107">
        <v>0</v>
      </c>
      <c r="GG55" s="107">
        <v>0</v>
      </c>
      <c r="GH55" s="107">
        <v>0</v>
      </c>
      <c r="GI55" s="107">
        <v>0</v>
      </c>
      <c r="GJ55" s="107">
        <v>0</v>
      </c>
      <c r="GK55" s="107">
        <v>0</v>
      </c>
      <c r="GL55" s="107">
        <v>0</v>
      </c>
      <c r="GM55" s="107">
        <v>0</v>
      </c>
      <c r="GN55" s="107">
        <v>0</v>
      </c>
      <c r="GO55" s="107">
        <v>0</v>
      </c>
      <c r="GP55" s="107">
        <v>0</v>
      </c>
      <c r="GQ55" s="107">
        <v>0</v>
      </c>
      <c r="GR55" s="107">
        <v>0</v>
      </c>
      <c r="GS55" s="107">
        <v>0</v>
      </c>
      <c r="GT55" s="107">
        <v>0</v>
      </c>
      <c r="GU55" s="107">
        <v>0</v>
      </c>
      <c r="GV55" s="107">
        <v>0</v>
      </c>
      <c r="GW55" s="107">
        <v>0</v>
      </c>
      <c r="GX55" s="107">
        <v>0</v>
      </c>
      <c r="GY55" s="107">
        <v>0</v>
      </c>
      <c r="GZ55" s="107">
        <v>0</v>
      </c>
      <c r="HA55" s="107">
        <v>0</v>
      </c>
      <c r="HB55" s="107">
        <v>0</v>
      </c>
      <c r="HC55" s="107">
        <v>0</v>
      </c>
      <c r="HD55" s="107">
        <v>0</v>
      </c>
      <c r="HE55" s="107">
        <v>0</v>
      </c>
      <c r="HF55" s="107">
        <v>0</v>
      </c>
      <c r="HG55" s="107">
        <v>0</v>
      </c>
      <c r="HH55" s="107">
        <v>0</v>
      </c>
      <c r="HI55" s="107">
        <v>0</v>
      </c>
      <c r="HJ55" s="107">
        <v>0</v>
      </c>
      <c r="HK55" s="107">
        <v>0</v>
      </c>
      <c r="HL55" s="107">
        <v>0</v>
      </c>
      <c r="HM55" s="107">
        <v>0</v>
      </c>
      <c r="HN55" s="107">
        <v>0</v>
      </c>
      <c r="HO55" s="107">
        <v>0</v>
      </c>
      <c r="HP55" s="107">
        <v>0</v>
      </c>
      <c r="HQ55" s="107">
        <f t="shared" si="88"/>
        <v>10</v>
      </c>
      <c r="HR55" s="107">
        <v>0</v>
      </c>
      <c r="HS55" s="107">
        <v>0</v>
      </c>
      <c r="HT55" s="107">
        <v>0</v>
      </c>
      <c r="HU55" s="107">
        <v>0</v>
      </c>
      <c r="HV55" s="107">
        <f t="shared" si="79"/>
        <v>0</v>
      </c>
      <c r="HW55" s="107">
        <f t="shared" si="80"/>
        <v>0</v>
      </c>
      <c r="HX55" s="107">
        <f t="shared" si="109"/>
        <v>15</v>
      </c>
      <c r="HY55" s="107">
        <v>0</v>
      </c>
      <c r="HZ55" s="107">
        <v>0</v>
      </c>
      <c r="IA55" s="107">
        <v>0</v>
      </c>
      <c r="IB55" s="107">
        <v>0</v>
      </c>
      <c r="IC55" s="107">
        <f t="shared" si="89"/>
        <v>0</v>
      </c>
      <c r="ID55" s="107">
        <f t="shared" si="90"/>
        <v>0</v>
      </c>
      <c r="IE55" s="107">
        <f t="shared" si="113"/>
        <v>22</v>
      </c>
      <c r="IF55" s="107">
        <v>0</v>
      </c>
      <c r="IG55" s="107">
        <v>0</v>
      </c>
      <c r="IH55" s="107">
        <v>0</v>
      </c>
      <c r="II55" s="107">
        <v>0</v>
      </c>
      <c r="IJ55" s="107">
        <f t="shared" si="110"/>
        <v>0</v>
      </c>
      <c r="IK55" s="107">
        <f t="shared" si="111"/>
        <v>0</v>
      </c>
      <c r="IL55" s="107">
        <f t="shared" si="34"/>
        <v>0</v>
      </c>
      <c r="IM55" s="107">
        <f t="shared" si="35"/>
        <v>0</v>
      </c>
      <c r="IN55" s="107">
        <f t="shared" si="36"/>
        <v>0</v>
      </c>
      <c r="IO55" s="27">
        <f t="shared" si="36"/>
        <v>0</v>
      </c>
    </row>
    <row r="56" spans="1:249" ht="17.25" thickBot="1" thickTop="1">
      <c r="A56" s="480">
        <v>1</v>
      </c>
      <c r="B56" s="412" t="s">
        <v>302</v>
      </c>
      <c r="C56" s="413" t="s">
        <v>209</v>
      </c>
      <c r="D56" s="485">
        <v>12000</v>
      </c>
      <c r="E56" s="458">
        <f t="shared" si="114"/>
        <v>12000</v>
      </c>
      <c r="G56" s="148" t="s">
        <v>303</v>
      </c>
      <c r="H56" s="443"/>
      <c r="I56" s="149"/>
      <c r="J56" s="203"/>
      <c r="K56" s="254">
        <f>IF(($T$3+$Y$3+$AD$3+0.5*$AI$3)&gt;=$E$163,3.5,100)</f>
        <v>100</v>
      </c>
      <c r="L56" s="254" t="s">
        <v>304</v>
      </c>
      <c r="M56" s="10">
        <f>$EA$71</f>
        <v>581197.7190403654</v>
      </c>
      <c r="N56" s="284"/>
      <c r="O56" s="254">
        <f>($AI$2/305)/2.204622622</f>
        <v>29.572451727102784</v>
      </c>
      <c r="P56" s="90">
        <f t="shared" si="115"/>
        <v>0.0566</v>
      </c>
      <c r="Q56" s="10">
        <f>IF($I$14="yes",P56*((($AI$1*100)-($I$7*$I$10))/2.204622622),0)</f>
        <v>18016.80127003614</v>
      </c>
      <c r="R56" s="81"/>
      <c r="S56" s="42" t="s">
        <v>256</v>
      </c>
      <c r="T56" s="386"/>
      <c r="U56" s="460"/>
      <c r="V56" s="464"/>
      <c r="W56" s="47"/>
      <c r="X56" s="47"/>
      <c r="Y56" s="386"/>
      <c r="Z56" s="460"/>
      <c r="AA56" s="464"/>
      <c r="AB56" s="47"/>
      <c r="AC56" s="47"/>
      <c r="AD56" s="386"/>
      <c r="AE56" s="460"/>
      <c r="AF56" s="464"/>
      <c r="AG56" s="47"/>
      <c r="AH56" s="47"/>
      <c r="AI56" s="386"/>
      <c r="AJ56" s="460"/>
      <c r="AK56" s="464"/>
      <c r="AL56" s="47"/>
      <c r="AM56" s="47"/>
      <c r="AN56" s="386"/>
      <c r="AO56" s="460"/>
      <c r="AP56" s="464"/>
      <c r="AQ56" s="47"/>
      <c r="AR56" s="47"/>
      <c r="AS56" s="42" t="s">
        <v>256</v>
      </c>
      <c r="AT56" s="386"/>
      <c r="AU56" s="460"/>
      <c r="AV56" s="464"/>
      <c r="AW56" s="47"/>
      <c r="AX56" s="47"/>
      <c r="AY56" s="386"/>
      <c r="AZ56" s="460"/>
      <c r="BA56" s="464"/>
      <c r="BB56" s="47"/>
      <c r="BC56" s="47"/>
      <c r="BD56" s="386"/>
      <c r="BE56" s="460"/>
      <c r="BF56" s="464"/>
      <c r="BG56" s="47"/>
      <c r="BH56" s="47"/>
      <c r="BI56" s="386"/>
      <c r="BJ56" s="460"/>
      <c r="BK56" s="464"/>
      <c r="BL56" s="47"/>
      <c r="BM56" s="47"/>
      <c r="BN56" s="386"/>
      <c r="BO56" s="460"/>
      <c r="BP56" s="464"/>
      <c r="BQ56" s="47"/>
      <c r="BR56" s="47"/>
      <c r="BS56" s="42" t="s">
        <v>256</v>
      </c>
      <c r="BT56" s="386"/>
      <c r="BU56" s="460"/>
      <c r="BV56" s="464"/>
      <c r="BW56" s="47"/>
      <c r="BX56" s="47"/>
      <c r="BY56" s="386"/>
      <c r="BZ56" s="460"/>
      <c r="CA56" s="464"/>
      <c r="CB56" s="47"/>
      <c r="CC56" s="47"/>
      <c r="CD56" s="386"/>
      <c r="CE56" s="460"/>
      <c r="CF56" s="464"/>
      <c r="CG56" s="47"/>
      <c r="CH56" s="47"/>
      <c r="CI56" s="386"/>
      <c r="CJ56" s="460"/>
      <c r="CK56" s="464"/>
      <c r="CL56" s="47"/>
      <c r="CM56" s="47"/>
      <c r="CN56" s="386"/>
      <c r="CO56" s="460"/>
      <c r="CP56" s="464"/>
      <c r="CQ56" s="47"/>
      <c r="CR56" s="47"/>
      <c r="CS56" s="42" t="s">
        <v>256</v>
      </c>
      <c r="CT56" s="386"/>
      <c r="CU56" s="460"/>
      <c r="CV56" s="464"/>
      <c r="CW56" s="47"/>
      <c r="CX56" s="47"/>
      <c r="CY56" s="386"/>
      <c r="CZ56" s="460"/>
      <c r="DA56" s="464"/>
      <c r="DB56" s="47"/>
      <c r="DC56" s="47"/>
      <c r="DD56" s="386"/>
      <c r="DE56" s="460"/>
      <c r="DF56" s="464"/>
      <c r="DG56" s="47"/>
      <c r="DH56" s="47"/>
      <c r="DI56" s="386"/>
      <c r="DJ56" s="460"/>
      <c r="DK56" s="464"/>
      <c r="DL56" s="47"/>
      <c r="DM56" s="47"/>
      <c r="DN56" s="457"/>
      <c r="DO56" s="460"/>
      <c r="DP56" s="464"/>
      <c r="DQ56" s="47"/>
      <c r="DR56" s="50"/>
      <c r="DT56" s="62">
        <v>18</v>
      </c>
      <c r="DU56" s="107">
        <f t="shared" si="37"/>
        <v>639873.329132113</v>
      </c>
      <c r="DV56" s="107">
        <f t="shared" si="112"/>
        <v>510482.9112497382</v>
      </c>
      <c r="DW56" s="107">
        <f t="shared" si="112"/>
        <v>3948.9854725215773</v>
      </c>
      <c r="DX56" s="107">
        <f t="shared" si="112"/>
        <v>4130.316438096548</v>
      </c>
      <c r="DY56" s="107">
        <f t="shared" si="112"/>
        <v>2216.267357027416</v>
      </c>
      <c r="DZ56" s="10">
        <f t="shared" si="112"/>
        <v>47378.45047194264</v>
      </c>
      <c r="EA56" s="79">
        <f t="shared" si="39"/>
        <v>166473.29908667196</v>
      </c>
      <c r="EB56" s="81"/>
      <c r="EC56" s="75"/>
      <c r="ED56" s="81"/>
      <c r="EE56" s="81"/>
      <c r="EF56" s="81"/>
      <c r="EG56" s="81"/>
      <c r="EH56" s="62">
        <v>19</v>
      </c>
      <c r="EI56" s="107">
        <f t="shared" si="91"/>
        <v>5216.517192266489</v>
      </c>
      <c r="EJ56" s="107">
        <f t="shared" si="92"/>
        <v>981.2268838653276</v>
      </c>
      <c r="EK56" s="107">
        <f t="shared" si="93"/>
        <v>6197.744076131816</v>
      </c>
      <c r="EL56" s="107">
        <f>IF($H$97&lt;$EH41,0,-PPMT($I$97,$EH41,$H$97,($EK$14*$I$83),0,0))</f>
        <v>10548.99190021152</v>
      </c>
      <c r="EM56" s="107">
        <f>IF($H$97&lt;$EH41,0,-IPMT($I$97,$EH41,$H$97,($EK$14*$I$83),0,0))</f>
        <v>1984.265376429789</v>
      </c>
      <c r="EN56" s="107">
        <f t="shared" si="52"/>
        <v>12533.257276641309</v>
      </c>
      <c r="EO56" s="107">
        <f t="shared" si="94"/>
        <v>11324.858819665902</v>
      </c>
      <c r="EP56" s="107">
        <f t="shared" si="95"/>
        <v>2130.2059439791597</v>
      </c>
      <c r="EQ56" s="107">
        <f t="shared" si="96"/>
        <v>13455.064763645061</v>
      </c>
      <c r="ER56" s="107">
        <f t="shared" si="97"/>
        <v>1593.4804245389776</v>
      </c>
      <c r="ES56" s="107">
        <f t="shared" si="98"/>
        <v>299.7336678557822</v>
      </c>
      <c r="ET56" s="107">
        <f t="shared" si="99"/>
        <v>1893.2140923947597</v>
      </c>
      <c r="EU56" s="107">
        <f t="shared" si="100"/>
        <v>14754.448375360904</v>
      </c>
      <c r="EV56" s="107">
        <f t="shared" si="101"/>
        <v>2775.31173940539</v>
      </c>
      <c r="EW56" s="107">
        <f t="shared" si="102"/>
        <v>17529.760114766294</v>
      </c>
      <c r="EX56" s="107">
        <f t="shared" si="103"/>
        <v>2655.800707564961</v>
      </c>
      <c r="EY56" s="107">
        <f t="shared" si="104"/>
        <v>499.55611309297115</v>
      </c>
      <c r="EZ56" s="107">
        <f t="shared" si="105"/>
        <v>3155.356820657932</v>
      </c>
      <c r="FA56" s="107">
        <f t="shared" si="106"/>
        <v>2823.0177891523863</v>
      </c>
      <c r="FB56" s="107">
        <f t="shared" si="107"/>
        <v>531.0096461395644</v>
      </c>
      <c r="FC56" s="107">
        <f t="shared" si="108"/>
        <v>3354.0274352919505</v>
      </c>
      <c r="FD56" s="107">
        <f>IF($H$103&lt;$EH41,0,-PPMT($I$103,$EH41,$H$103,($EW$14*$I$89),0,0))</f>
        <v>37927.68318583742</v>
      </c>
      <c r="FE56" s="107">
        <f>IF($H$103&lt;$EH41,0,-IPMT($I$103,$EH41,$H$103,($EW$14*$I$89),0,0))</f>
        <v>7134.197207256027</v>
      </c>
      <c r="FF56" s="79">
        <f t="shared" si="53"/>
        <v>45061.880393093445</v>
      </c>
      <c r="FH56" s="62">
        <v>19</v>
      </c>
      <c r="FI56" s="107">
        <v>0</v>
      </c>
      <c r="FJ56" s="107">
        <v>0</v>
      </c>
      <c r="FK56" s="107">
        <v>0</v>
      </c>
      <c r="FL56" s="107">
        <v>0</v>
      </c>
      <c r="FM56" s="107">
        <v>0</v>
      </c>
      <c r="FN56" s="107">
        <v>0</v>
      </c>
      <c r="FO56" s="107">
        <v>0</v>
      </c>
      <c r="FP56" s="107">
        <v>0</v>
      </c>
      <c r="FQ56" s="107">
        <v>0</v>
      </c>
      <c r="FR56" s="107">
        <v>0</v>
      </c>
      <c r="FS56" s="107">
        <v>0</v>
      </c>
      <c r="FT56" s="107">
        <v>0</v>
      </c>
      <c r="FU56" s="107">
        <v>0</v>
      </c>
      <c r="FV56" s="107">
        <v>0</v>
      </c>
      <c r="FW56" s="107">
        <v>0</v>
      </c>
      <c r="FX56" s="107">
        <v>0</v>
      </c>
      <c r="FY56" s="107">
        <v>0</v>
      </c>
      <c r="FZ56" s="107">
        <v>0</v>
      </c>
      <c r="GA56" s="107">
        <v>0</v>
      </c>
      <c r="GB56" s="107">
        <v>0</v>
      </c>
      <c r="GC56" s="107">
        <v>0</v>
      </c>
      <c r="GD56" s="107">
        <v>0</v>
      </c>
      <c r="GE56" s="107">
        <v>0</v>
      </c>
      <c r="GF56" s="107">
        <v>0</v>
      </c>
      <c r="GG56" s="107">
        <v>0</v>
      </c>
      <c r="GH56" s="107">
        <v>0</v>
      </c>
      <c r="GI56" s="107">
        <v>0</v>
      </c>
      <c r="GJ56" s="107">
        <v>0</v>
      </c>
      <c r="GK56" s="107">
        <v>0</v>
      </c>
      <c r="GL56" s="107">
        <v>0</v>
      </c>
      <c r="GM56" s="107">
        <v>0</v>
      </c>
      <c r="GN56" s="107">
        <v>0</v>
      </c>
      <c r="GO56" s="107">
        <v>0</v>
      </c>
      <c r="GP56" s="107">
        <v>0</v>
      </c>
      <c r="GQ56" s="107">
        <v>0</v>
      </c>
      <c r="GR56" s="107">
        <v>0</v>
      </c>
      <c r="GS56" s="107">
        <v>0</v>
      </c>
      <c r="GT56" s="107">
        <v>0</v>
      </c>
      <c r="GU56" s="107">
        <v>0</v>
      </c>
      <c r="GV56" s="107">
        <v>0</v>
      </c>
      <c r="GW56" s="107">
        <v>0</v>
      </c>
      <c r="GX56" s="107">
        <v>0</v>
      </c>
      <c r="GY56" s="107">
        <v>0</v>
      </c>
      <c r="GZ56" s="107">
        <v>0</v>
      </c>
      <c r="HA56" s="107">
        <v>0</v>
      </c>
      <c r="HB56" s="107">
        <v>0</v>
      </c>
      <c r="HC56" s="107">
        <v>0</v>
      </c>
      <c r="HD56" s="107">
        <v>0</v>
      </c>
      <c r="HE56" s="107">
        <v>0</v>
      </c>
      <c r="HF56" s="107">
        <v>0</v>
      </c>
      <c r="HG56" s="107">
        <v>0</v>
      </c>
      <c r="HH56" s="107">
        <v>0</v>
      </c>
      <c r="HI56" s="107">
        <v>0</v>
      </c>
      <c r="HJ56" s="107">
        <v>0</v>
      </c>
      <c r="HK56" s="107">
        <v>0</v>
      </c>
      <c r="HL56" s="107">
        <v>0</v>
      </c>
      <c r="HM56" s="107">
        <v>0</v>
      </c>
      <c r="HN56" s="107">
        <v>0</v>
      </c>
      <c r="HO56" s="107">
        <v>0</v>
      </c>
      <c r="HP56" s="107">
        <v>0</v>
      </c>
      <c r="HQ56" s="107">
        <v>0</v>
      </c>
      <c r="HR56" s="107">
        <v>0</v>
      </c>
      <c r="HS56" s="107">
        <v>0</v>
      </c>
      <c r="HT56" s="107">
        <v>0</v>
      </c>
      <c r="HU56" s="107">
        <v>0</v>
      </c>
      <c r="HV56" s="107">
        <v>0</v>
      </c>
      <c r="HW56" s="107">
        <v>0</v>
      </c>
      <c r="HX56" s="107">
        <f t="shared" si="109"/>
        <v>10</v>
      </c>
      <c r="HY56" s="107">
        <v>0</v>
      </c>
      <c r="HZ56" s="107">
        <v>0</v>
      </c>
      <c r="IA56" s="107">
        <v>0</v>
      </c>
      <c r="IB56" s="107">
        <v>0</v>
      </c>
      <c r="IC56" s="107">
        <f t="shared" si="89"/>
        <v>0</v>
      </c>
      <c r="ID56" s="107">
        <f t="shared" si="90"/>
        <v>0</v>
      </c>
      <c r="IE56" s="107">
        <f t="shared" si="113"/>
        <v>15</v>
      </c>
      <c r="IF56" s="107">
        <v>0</v>
      </c>
      <c r="IG56" s="107">
        <v>0</v>
      </c>
      <c r="IH56" s="107">
        <v>0</v>
      </c>
      <c r="II56" s="107">
        <v>0</v>
      </c>
      <c r="IJ56" s="107">
        <f t="shared" si="110"/>
        <v>0</v>
      </c>
      <c r="IK56" s="107">
        <f t="shared" si="111"/>
        <v>0</v>
      </c>
      <c r="IL56" s="107">
        <f t="shared" si="34"/>
        <v>0</v>
      </c>
      <c r="IM56" s="107">
        <f t="shared" si="35"/>
        <v>0</v>
      </c>
      <c r="IN56" s="107">
        <f t="shared" si="36"/>
        <v>0</v>
      </c>
      <c r="IO56" s="27">
        <f t="shared" si="36"/>
        <v>0</v>
      </c>
    </row>
    <row r="57" spans="1:249" ht="17.25" thickBot="1" thickTop="1">
      <c r="A57" s="480">
        <v>2</v>
      </c>
      <c r="B57" s="412" t="s">
        <v>305</v>
      </c>
      <c r="C57" s="413" t="s">
        <v>209</v>
      </c>
      <c r="D57" s="485">
        <v>15000</v>
      </c>
      <c r="E57" s="458">
        <f t="shared" si="114"/>
        <v>30000</v>
      </c>
      <c r="G57" s="53" t="s">
        <v>306</v>
      </c>
      <c r="H57" s="444"/>
      <c r="I57" s="147"/>
      <c r="J57" s="203"/>
      <c r="K57" s="254">
        <f>IF(($T$3+$Y$3+$AD$3+$AI$3)&gt;=$E$163,4,100)</f>
        <v>100</v>
      </c>
      <c r="L57" s="254" t="s">
        <v>307</v>
      </c>
      <c r="M57" s="10">
        <f>$EA$72</f>
        <v>626200.065246182</v>
      </c>
      <c r="N57" s="284"/>
      <c r="O57" s="254">
        <f>($AN$2/305)/2.204622622</f>
        <v>29.868176244373814</v>
      </c>
      <c r="P57" s="90">
        <f t="shared" si="115"/>
        <v>0.0567</v>
      </c>
      <c r="Q57" s="10">
        <f>IF($I$14="yes",P57*((($AN$1*100)-($I$7*$I$10))/2.204622622),0)</f>
        <v>24185.567401712036</v>
      </c>
      <c r="R57" s="81"/>
      <c r="S57" s="29" t="s">
        <v>308</v>
      </c>
      <c r="T57" s="386">
        <f>IF($I$120=3,$HU$64+$HV$64-$HW$64,$HU$117+$HV$117-$HW$117)</f>
        <v>304320</v>
      </c>
      <c r="U57" s="460">
        <f>T57/$I$7</f>
        <v>253.6</v>
      </c>
      <c r="V57" s="464">
        <f>IF($I$14="no",T57/(($I$7*$I$10)/100),T57/$T$1)</f>
        <v>1.3139896373056994</v>
      </c>
      <c r="W57" s="47">
        <f>(T57/$T$13)*100</f>
        <v>7.788324040039541</v>
      </c>
      <c r="X57" s="47">
        <f>(T57/$T$58)*100</f>
        <v>18.25963856331895</v>
      </c>
      <c r="Y57" s="386">
        <f>IF($I$120=3,$HU$65+$HV$65-$HW$65,$HU$118+$HV$118-$HW$118)</f>
        <v>173406.66666666666</v>
      </c>
      <c r="Z57" s="460">
        <f>Y57/$I$7</f>
        <v>144.50555555555556</v>
      </c>
      <c r="AA57" s="464">
        <f>IF($I$14="no",Y57/(($I$7*$I$10)/100),Y57/$Y$1)</f>
        <v>0.7413202460142387</v>
      </c>
      <c r="AB57" s="47">
        <f>(Y57/$Y$13)*100</f>
        <v>4.3972591539330885</v>
      </c>
      <c r="AC57" s="47">
        <f>(Y57/$Y$58)*100</f>
        <v>13.784634350891967</v>
      </c>
      <c r="AD57" s="386">
        <f>IF($I$120=3,$HU$66+$HV$66-$HW$66,$HU$119+$HV$119-$HW$119)</f>
        <v>130336.66666666667</v>
      </c>
      <c r="AE57" s="460">
        <f>AD57/$I$7</f>
        <v>108.6138888888889</v>
      </c>
      <c r="AF57" s="464">
        <f>IF($I$14="no",AD57/(($I$7*$I$10)/100),AD57/$AD$1)</f>
        <v>0.5516775450181349</v>
      </c>
      <c r="AG57" s="47">
        <f>(AD57/$AD$13)*100</f>
        <v>3.2747840405762516</v>
      </c>
      <c r="AH57" s="47">
        <f>(AD57/$AD$58)*100</f>
        <v>12.999674566109858</v>
      </c>
      <c r="AI57" s="386">
        <f>IF($I$120=3,$HU$67+$HV$67-$HW$67,$HU$120+$HV$120-$HW$120)</f>
        <v>130336.66666666667</v>
      </c>
      <c r="AJ57" s="460">
        <f>AI57/$I$7</f>
        <v>108.6138888888889</v>
      </c>
      <c r="AK57" s="464">
        <f>IF($I$14="no",AI57/(($I$7*$I$10)/100),AI57/$AI$1)</f>
        <v>0.5462153911070643</v>
      </c>
      <c r="AL57" s="47">
        <f>(AI57/$AI$13)*100</f>
        <v>3.2447370168616914</v>
      </c>
      <c r="AM57" s="47">
        <f>(AI57/$AI$58)*100</f>
        <v>15.634603712299361</v>
      </c>
      <c r="AN57" s="386">
        <f>IF($I$120=3,$HU$68+$HV$68-$HW$68,$HU$121+$HV$121-$HW$121)</f>
        <v>130336.66666666667</v>
      </c>
      <c r="AO57" s="460">
        <f>AN57/$I$7</f>
        <v>108.6138888888889</v>
      </c>
      <c r="AP57" s="464">
        <f>IF($I$14="no",AN57/(($I$7*$I$10)/100),AN57/$AN$1)</f>
        <v>0.5408073179277864</v>
      </c>
      <c r="AQ57" s="47">
        <f>(AN57/$AN$13)*100</f>
        <v>3.2149440612817424</v>
      </c>
      <c r="AR57" s="47">
        <f>(AN57/$AN$58)*100</f>
        <v>16.149869297167402</v>
      </c>
      <c r="AS57" s="29" t="s">
        <v>308</v>
      </c>
      <c r="AT57" s="386">
        <f>IF($I$120=3,$HU$69+$HV$69-$HW$69,$HU$122+$HV$122-$HW$122)</f>
        <v>130876.66666666667</v>
      </c>
      <c r="AU57" s="460">
        <f>AT57/$I$7</f>
        <v>109.0638888888889</v>
      </c>
      <c r="AV57" s="464">
        <f>IF($I$14="no",AT57/(($I$7*$I$10)/100),AT57/$AT$1)</f>
        <v>0.5376712333405841</v>
      </c>
      <c r="AW57" s="47">
        <f>(AT57/$AT$13)*100</f>
        <v>3.198600918789199</v>
      </c>
      <c r="AX57" s="47">
        <f>(AT57/$AT$58)*100</f>
        <v>14.790418783334951</v>
      </c>
      <c r="AY57" s="386">
        <f>IF($I$120=3,$HU$70+$HV$70-$HW$70,$HU$123+$HV$123-$HW$123)</f>
        <v>130876.66666666667</v>
      </c>
      <c r="AZ57" s="460">
        <f>AY57/$I$7</f>
        <v>109.0638888888889</v>
      </c>
      <c r="BA57" s="464">
        <f>IF($I$14="no",AY57/(($I$7*$I$10)/100),AY57/$AY$1)</f>
        <v>0.5323477557827565</v>
      </c>
      <c r="BB57" s="47">
        <f>(AY57/$AY$13)*100</f>
        <v>3.169189494099666</v>
      </c>
      <c r="BC57" s="47">
        <f>(AY57/$AY$58)*100</f>
        <v>15.72442302137405</v>
      </c>
      <c r="BD57" s="386">
        <f>IF($I$120=3,$HU$71+$HV$71-$HW$71,$HU$124+$HV$124-$HW$124)</f>
        <v>130876.66666666667</v>
      </c>
      <c r="BE57" s="460"/>
      <c r="BF57" s="464"/>
      <c r="BG57" s="47"/>
      <c r="BH57" s="47"/>
      <c r="BI57" s="386">
        <f>IF($I$120=3,$HU$72+$HV$72-$HW$72,$HU$125+$HV$125-$HW$125)</f>
        <v>130336.66666666667</v>
      </c>
      <c r="BJ57" s="460">
        <f>BI57/$I$7</f>
        <v>108.6138888888889</v>
      </c>
      <c r="BK57" s="464">
        <f>IF($I$14="no",BI57/(($I$7*$I$10)/100),BI57/$BI$1)</f>
        <v>0.5197052026810721</v>
      </c>
      <c r="BL57" s="47">
        <f>(BI57/$BI$13)*100</f>
        <v>3.098277939749041</v>
      </c>
      <c r="BM57" s="47">
        <f>(BI57/$BI$58)*100</f>
        <v>17.936539818108372</v>
      </c>
      <c r="BN57" s="386">
        <f>IF($I$120=3,$HU$73+$HV$73-$HW$73,$HU$126+$HV$126-$HW$126)</f>
        <v>130336.66666666667</v>
      </c>
      <c r="BO57" s="460">
        <f>BN57/$I$7</f>
        <v>108.6138888888889</v>
      </c>
      <c r="BP57" s="464">
        <f>IF($I$14="no",BN57/(($I$7*$I$10)/100),BN57/$BN$1)</f>
        <v>0.514559606614923</v>
      </c>
      <c r="BQ57" s="47">
        <f>(BN57/$BN$13)*100</f>
        <v>3.069729132759633</v>
      </c>
      <c r="BR57" s="47">
        <f>(BN57/$BN$58)*100</f>
        <v>18.531976186817122</v>
      </c>
      <c r="BS57" s="29" t="s">
        <v>308</v>
      </c>
      <c r="BT57" s="386">
        <f>IF($I$120=3,$HU$74+$HV$74-$HW$74,$HU$127+$HV$127-$HW$127)</f>
        <v>130336.66666666667</v>
      </c>
      <c r="BU57" s="460">
        <f>BT57/$I$7</f>
        <v>108.6138888888889</v>
      </c>
      <c r="BV57" s="464">
        <f>IF($I$14="no",BT57/(($I$7*$I$10)/100),BT57/$BT$1)</f>
        <v>0.5094649570444781</v>
      </c>
      <c r="BW57" s="47">
        <f>(BT57/$BT$13)*100</f>
        <v>3.0414239524783273</v>
      </c>
      <c r="BX57" s="47">
        <f>(BT57/$BT$58)*100</f>
        <v>15.571181568131381</v>
      </c>
      <c r="BY57" s="386">
        <f>IF($I$120=3,$HU$75+$HV$75-$HW$75,$HU$128+$HV$128-$HW$128)</f>
        <v>130336.66666666667</v>
      </c>
      <c r="BZ57" s="460">
        <f>BY57/$I$7</f>
        <v>108.6138888888889</v>
      </c>
      <c r="CA57" s="464">
        <f>IF($I$14="no",BY57/(($I$7*$I$10)/100),BY57/$BY$1)</f>
        <v>0.5044207495489883</v>
      </c>
      <c r="CB57" s="47">
        <f>(BY57/$BY$13)*100</f>
        <v>3.013360676970709</v>
      </c>
      <c r="CC57" s="47">
        <f>(BY57/$BY$58)*100</f>
        <v>16.629984845796734</v>
      </c>
      <c r="CD57" s="386">
        <f>IF($I$120=3,$HU$76+$HV$76-$HW$76,$HU$129+$HV$129-$HW$129)</f>
        <v>130336.66666666667</v>
      </c>
      <c r="CE57" s="460">
        <f>CD57/$I$7</f>
        <v>108.6138888888889</v>
      </c>
      <c r="CF57" s="464">
        <f>IF($I$14="no",CD57/(($I$7*$I$10)/100),CD57/$CD$1)</f>
        <v>0.49942648470196865</v>
      </c>
      <c r="CG57" s="47">
        <f>(CD57/$CD$13)*100</f>
        <v>2.985537589862796</v>
      </c>
      <c r="CH57" s="47">
        <f>(CD57/$CD$58)*100</f>
        <v>17.843285802389243</v>
      </c>
      <c r="CI57" s="386">
        <f>IF($I$120=3,$HU$77+$HV$77-$HW$77,$HU$130+$HV$130-$HW$130)</f>
        <v>130336.66666666667</v>
      </c>
      <c r="CJ57" s="460">
        <f>CI57/$I$7</f>
        <v>108.6138888888889</v>
      </c>
      <c r="CK57" s="464">
        <f>IF($I$14="no",CI57/(($I$7*$I$10)/100),CI57/$CI$1)</f>
        <v>0.4944816680217511</v>
      </c>
      <c r="CL57" s="47">
        <f>(CI57/$CI$13)*100</f>
        <v>2.957952980457753</v>
      </c>
      <c r="CM57" s="47">
        <f>(CI57/$CI$58)*100</f>
        <v>19.247561578449783</v>
      </c>
      <c r="CN57" s="386">
        <f>IF($I$120=3,$HU$78+$HV$78-$HW$78,$HU$131+$HV$131-$HW$131)</f>
        <v>130336.66666666667</v>
      </c>
      <c r="CO57" s="460">
        <f>CN57/$I$7</f>
        <v>108.6138888888889</v>
      </c>
      <c r="CP57" s="464">
        <f>IF($I$14="no",CN57/(($I$7*$I$10)/100),CN57/$CN$1)</f>
        <v>0.48958580992252576</v>
      </c>
      <c r="CQ57" s="47">
        <f>(CN57/$CN$13)*100</f>
        <v>2.930605143849411</v>
      </c>
      <c r="CR57" s="47">
        <f>(CN57/$CN$58)*100</f>
        <v>19.957256464036913</v>
      </c>
      <c r="CS57" s="29" t="s">
        <v>308</v>
      </c>
      <c r="CT57" s="386">
        <f>IF($I$120=3,$HU$79+$HV$79-$HW$79,$HU$132+$HV$132-$HW$132)</f>
        <v>130336.66666666667</v>
      </c>
      <c r="CU57" s="460">
        <f>CT57/$I$7</f>
        <v>108.6138888888889</v>
      </c>
      <c r="CV57" s="464">
        <f>IF($I$14="no",CT57/(($I$7*$I$10)/100),CT57/$CT$1)</f>
        <v>0.4847384256658671</v>
      </c>
      <c r="CW57" s="47">
        <f>(CT57/$CT$13)*100</f>
        <v>2.9034923810326294</v>
      </c>
      <c r="CX57" s="47">
        <f>(CT57/$CT$58)*100</f>
        <v>17.78402309093591</v>
      </c>
      <c r="CY57" s="386">
        <f>IF($I$120=3,$HU$80+$HV$80-$HW$80,$HU$133+$HV$133-$HW$133)</f>
        <v>130336.66666666667</v>
      </c>
      <c r="CZ57" s="460">
        <f>CY57/$I$7</f>
        <v>108.6138888888889</v>
      </c>
      <c r="DA57" s="464">
        <f>IF($I$14="no",CY57/(($I$7*$I$10)/100),CY57/$CY$1)</f>
        <v>0.47993903531273974</v>
      </c>
      <c r="DB57" s="47">
        <f>(CY57/$CY$13)*100</f>
        <v>2.8766129990105416</v>
      </c>
      <c r="DC57" s="47">
        <f>(CY57/$CY$58)*100</f>
        <v>18.750652561386545</v>
      </c>
      <c r="DD57" s="386">
        <f>IF($I$120=3,$HU$81+$HV$81-$HW$81,$HU$134+$HV$134-$HW$134)</f>
        <v>130336.66666666667</v>
      </c>
      <c r="DE57" s="460">
        <f>DD57/$I$7</f>
        <v>108.6138888888889</v>
      </c>
      <c r="DF57" s="464">
        <f>IF($I$14="no",DD57/(($I$7*$I$10)/100),DD57/$DD$1)</f>
        <v>0.47518716367597985</v>
      </c>
      <c r="DG57" s="47">
        <f>(DD57/$DD$13)*100</f>
        <v>2.8499653108987366</v>
      </c>
      <c r="DH57" s="47">
        <f>(DD57/$DD$58)*100</f>
        <v>19.828401811064506</v>
      </c>
      <c r="DI57" s="386">
        <f>IF($I$120=3,$HU$82+$HV$82-$HW$82,$HU$135+$HV$135-$HW$135)</f>
        <v>130336.66666666667</v>
      </c>
      <c r="DJ57" s="460">
        <f>DI57/$I$7</f>
        <v>108.6138888888889</v>
      </c>
      <c r="DK57" s="464">
        <f>IF($I$14="no",DI57/(($I$7*$I$10)/100),DI57/$DI$1)</f>
        <v>0.47048234027324737</v>
      </c>
      <c r="DL57" s="47">
        <f>(DI57/$DI$13)*100</f>
        <v>2.8235476360264022</v>
      </c>
      <c r="DM57" s="47">
        <f>(DI57/$DI$58)*100</f>
        <v>21.037600141257933</v>
      </c>
      <c r="DN57" s="457">
        <f>IF($I$120=3,$HU$83+$HV$83-$HW$83,$HU$136+$HV$136-$HW$136)</f>
        <v>130336.66666666667</v>
      </c>
      <c r="DO57" s="460">
        <f>DN57/$I$7</f>
        <v>108.6138888888889</v>
      </c>
      <c r="DP57" s="464">
        <f>IF($I$14="no",DN57/(($I$7*$I$10)/100),DN57/$DN$1)</f>
        <v>0.46582409928044294</v>
      </c>
      <c r="DQ57" s="47">
        <f>(DN57/$DN$13)*100</f>
        <v>2.7973583000344786</v>
      </c>
      <c r="DR57" s="50">
        <f>(DN57/$DN$58)*100</f>
        <v>21.332659461395124</v>
      </c>
      <c r="DT57" s="62">
        <v>19</v>
      </c>
      <c r="DU57" s="107">
        <f t="shared" si="37"/>
        <v>592532.2125043198</v>
      </c>
      <c r="DV57" s="107">
        <f t="shared" si="112"/>
        <v>469759.37516808533</v>
      </c>
      <c r="DW57" s="107">
        <f t="shared" si="112"/>
        <v>3622.922451854658</v>
      </c>
      <c r="DX57" s="107">
        <f t="shared" si="112"/>
        <v>3789.281135868392</v>
      </c>
      <c r="DY57" s="107">
        <f t="shared" si="112"/>
        <v>2033.2728046123082</v>
      </c>
      <c r="DZ57" s="10">
        <f t="shared" si="112"/>
        <v>40968.10441433265</v>
      </c>
      <c r="EA57" s="79">
        <f t="shared" si="39"/>
        <v>154295.46535823183</v>
      </c>
      <c r="EB57" s="81"/>
      <c r="EC57" s="75"/>
      <c r="ED57" s="81"/>
      <c r="EE57" s="81"/>
      <c r="EF57" s="81"/>
      <c r="EG57" s="81"/>
      <c r="EH57" s="71">
        <v>20</v>
      </c>
      <c r="EI57" s="107">
        <f t="shared" si="91"/>
        <v>5686.003739570474</v>
      </c>
      <c r="EJ57" s="107">
        <f t="shared" si="92"/>
        <v>511.7403365613424</v>
      </c>
      <c r="EK57" s="107">
        <f t="shared" si="93"/>
        <v>6197.744076131817</v>
      </c>
      <c r="EL57" s="107">
        <f>IF($H$97&lt;$EH42,0,-PPMT($I$97,$EH42,$H$97,($EK$14*$I$83),0,0))</f>
        <v>11498.401171230556</v>
      </c>
      <c r="EM57" s="107">
        <f>IF($H$97&lt;$EH42,0,-IPMT($I$97,$EH42,$H$97,($EK$14*$I$83),0,0))</f>
        <v>1034.856105410753</v>
      </c>
      <c r="EN57" s="107">
        <f t="shared" si="52"/>
        <v>12533.257276641309</v>
      </c>
      <c r="EO57" s="107">
        <f t="shared" si="94"/>
        <v>12344.096113435833</v>
      </c>
      <c r="EP57" s="107">
        <f t="shared" si="95"/>
        <v>1110.968650209228</v>
      </c>
      <c r="EQ57" s="107">
        <f t="shared" si="96"/>
        <v>13455.064763645061</v>
      </c>
      <c r="ER57" s="107">
        <f t="shared" si="97"/>
        <v>1736.893662747486</v>
      </c>
      <c r="ES57" s="107">
        <f t="shared" si="98"/>
        <v>156.3204296472738</v>
      </c>
      <c r="ET57" s="107">
        <f t="shared" si="99"/>
        <v>1893.2140923947597</v>
      </c>
      <c r="EU57" s="107">
        <f t="shared" si="100"/>
        <v>16082.348729143387</v>
      </c>
      <c r="EV57" s="107">
        <f t="shared" si="101"/>
        <v>1447.4113856229071</v>
      </c>
      <c r="EW57" s="107">
        <f t="shared" si="102"/>
        <v>17529.760114766294</v>
      </c>
      <c r="EX57" s="107">
        <f t="shared" si="103"/>
        <v>2894.822771245809</v>
      </c>
      <c r="EY57" s="107">
        <f t="shared" si="104"/>
        <v>260.5340494121236</v>
      </c>
      <c r="EZ57" s="107">
        <f t="shared" si="105"/>
        <v>3155.3568206579325</v>
      </c>
      <c r="FA57" s="107">
        <f t="shared" si="106"/>
        <v>3077.089390176102</v>
      </c>
      <c r="FB57" s="107">
        <f t="shared" si="107"/>
        <v>276.9380451158491</v>
      </c>
      <c r="FC57" s="107">
        <f t="shared" si="108"/>
        <v>3354.027435291951</v>
      </c>
      <c r="FD57" s="107">
        <f>IF($H$103&lt;$EH42,0,-PPMT($I$103,$EH42,$H$103,($EW$14*$I$89),0,0))</f>
        <v>41341.17467256279</v>
      </c>
      <c r="FE57" s="107">
        <f>IF($H$103&lt;$EH42,0,-IPMT($I$103,$EH42,$H$103,($EW$14*$I$89),0,0))</f>
        <v>3720.7057205306573</v>
      </c>
      <c r="FF57" s="79">
        <f t="shared" si="53"/>
        <v>45061.880393093445</v>
      </c>
      <c r="FH57" s="71">
        <v>20</v>
      </c>
      <c r="FI57" s="300">
        <v>0</v>
      </c>
      <c r="FJ57" s="300">
        <v>0</v>
      </c>
      <c r="FK57" s="300">
        <v>0</v>
      </c>
      <c r="FL57" s="300">
        <v>0</v>
      </c>
      <c r="FM57" s="300">
        <v>0</v>
      </c>
      <c r="FN57" s="300">
        <v>0</v>
      </c>
      <c r="FO57" s="300">
        <v>0</v>
      </c>
      <c r="FP57" s="300">
        <v>0</v>
      </c>
      <c r="FQ57" s="300">
        <v>0</v>
      </c>
      <c r="FR57" s="300">
        <v>0</v>
      </c>
      <c r="FS57" s="300">
        <v>0</v>
      </c>
      <c r="FT57" s="300">
        <v>0</v>
      </c>
      <c r="FU57" s="300">
        <v>0</v>
      </c>
      <c r="FV57" s="300">
        <v>0</v>
      </c>
      <c r="FW57" s="300">
        <v>0</v>
      </c>
      <c r="FX57" s="300">
        <v>0</v>
      </c>
      <c r="FY57" s="300">
        <v>0</v>
      </c>
      <c r="FZ57" s="300">
        <v>0</v>
      </c>
      <c r="GA57" s="300">
        <v>0</v>
      </c>
      <c r="GB57" s="300">
        <v>0</v>
      </c>
      <c r="GC57" s="300">
        <v>0</v>
      </c>
      <c r="GD57" s="300">
        <v>0</v>
      </c>
      <c r="GE57" s="300">
        <v>0</v>
      </c>
      <c r="GF57" s="300">
        <v>0</v>
      </c>
      <c r="GG57" s="300">
        <v>0</v>
      </c>
      <c r="GH57" s="300">
        <v>0</v>
      </c>
      <c r="GI57" s="300">
        <v>0</v>
      </c>
      <c r="GJ57" s="300">
        <v>0</v>
      </c>
      <c r="GK57" s="300">
        <v>0</v>
      </c>
      <c r="GL57" s="300">
        <v>0</v>
      </c>
      <c r="GM57" s="300">
        <v>0</v>
      </c>
      <c r="GN57" s="300">
        <v>0</v>
      </c>
      <c r="GO57" s="300">
        <v>0</v>
      </c>
      <c r="GP57" s="300">
        <v>0</v>
      </c>
      <c r="GQ57" s="300">
        <v>0</v>
      </c>
      <c r="GR57" s="300">
        <v>0</v>
      </c>
      <c r="GS57" s="300">
        <v>0</v>
      </c>
      <c r="GT57" s="300">
        <v>0</v>
      </c>
      <c r="GU57" s="300">
        <v>0</v>
      </c>
      <c r="GV57" s="300">
        <v>0</v>
      </c>
      <c r="GW57" s="300">
        <v>0</v>
      </c>
      <c r="GX57" s="300">
        <v>0</v>
      </c>
      <c r="GY57" s="300">
        <v>0</v>
      </c>
      <c r="GZ57" s="300">
        <v>0</v>
      </c>
      <c r="HA57" s="300">
        <v>0</v>
      </c>
      <c r="HB57" s="300">
        <v>0</v>
      </c>
      <c r="HC57" s="300">
        <v>0</v>
      </c>
      <c r="HD57" s="300">
        <v>0</v>
      </c>
      <c r="HE57" s="300">
        <v>0</v>
      </c>
      <c r="HF57" s="300">
        <v>0</v>
      </c>
      <c r="HG57" s="300">
        <v>0</v>
      </c>
      <c r="HH57" s="300">
        <v>0</v>
      </c>
      <c r="HI57" s="300">
        <v>0</v>
      </c>
      <c r="HJ57" s="300">
        <v>0</v>
      </c>
      <c r="HK57" s="300">
        <v>0</v>
      </c>
      <c r="HL57" s="300">
        <v>0</v>
      </c>
      <c r="HM57" s="300">
        <v>0</v>
      </c>
      <c r="HN57" s="300">
        <v>0</v>
      </c>
      <c r="HO57" s="300">
        <v>0</v>
      </c>
      <c r="HP57" s="300">
        <v>0</v>
      </c>
      <c r="HQ57" s="300">
        <v>0</v>
      </c>
      <c r="HR57" s="300">
        <v>0</v>
      </c>
      <c r="HS57" s="300">
        <v>0</v>
      </c>
      <c r="HT57" s="300">
        <v>0</v>
      </c>
      <c r="HU57" s="300">
        <v>0</v>
      </c>
      <c r="HV57" s="300">
        <v>0</v>
      </c>
      <c r="HW57" s="300">
        <v>0</v>
      </c>
      <c r="HX57" s="300">
        <v>0</v>
      </c>
      <c r="HY57" s="300">
        <v>0</v>
      </c>
      <c r="HZ57" s="300">
        <v>0</v>
      </c>
      <c r="IA57" s="300">
        <v>0</v>
      </c>
      <c r="IB57" s="300">
        <v>0</v>
      </c>
      <c r="IC57" s="300">
        <v>0</v>
      </c>
      <c r="ID57" s="300">
        <v>0</v>
      </c>
      <c r="IE57" s="300">
        <f t="shared" si="113"/>
        <v>10</v>
      </c>
      <c r="IF57" s="300">
        <v>0</v>
      </c>
      <c r="IG57" s="300">
        <v>0</v>
      </c>
      <c r="IH57" s="300">
        <v>0</v>
      </c>
      <c r="II57" s="300">
        <v>0</v>
      </c>
      <c r="IJ57" s="300">
        <f t="shared" si="110"/>
        <v>0</v>
      </c>
      <c r="IK57" s="300">
        <f t="shared" si="111"/>
        <v>0</v>
      </c>
      <c r="IL57" s="300">
        <f t="shared" si="34"/>
        <v>0</v>
      </c>
      <c r="IM57" s="300">
        <f t="shared" si="35"/>
        <v>0</v>
      </c>
      <c r="IN57" s="300">
        <f t="shared" si="36"/>
        <v>0</v>
      </c>
      <c r="IO57" s="382">
        <f t="shared" si="36"/>
        <v>0</v>
      </c>
    </row>
    <row r="58" spans="1:243" ht="17.25" thickBot="1" thickTop="1">
      <c r="A58" s="480">
        <v>2</v>
      </c>
      <c r="B58" s="412" t="s">
        <v>309</v>
      </c>
      <c r="C58" s="413" t="s">
        <v>209</v>
      </c>
      <c r="D58" s="485">
        <v>2100</v>
      </c>
      <c r="E58" s="458">
        <f t="shared" si="114"/>
        <v>4200</v>
      </c>
      <c r="G58" s="398" t="s">
        <v>310</v>
      </c>
      <c r="H58" s="440"/>
      <c r="I58" s="516">
        <v>7.61</v>
      </c>
      <c r="J58" s="203"/>
      <c r="K58" s="254">
        <f>IF(($T$3+$Y$3+$AD$3+$AI$3+0.5*$AN$3)&gt;=$E$163,4.5,100)</f>
        <v>100</v>
      </c>
      <c r="L58" s="254" t="s">
        <v>311</v>
      </c>
      <c r="M58" s="10">
        <f>$EA$73</f>
        <v>627083.6471678638</v>
      </c>
      <c r="N58" s="285"/>
      <c r="O58" s="254">
        <f>($AT$2/305)/2.204622622</f>
        <v>30.166858006817552</v>
      </c>
      <c r="P58" s="90">
        <f t="shared" si="115"/>
        <v>0.0568</v>
      </c>
      <c r="Q58" s="10">
        <f>IF($I$14="yes",P58*((($AT$1*100)-($I$7*$I$10))/2.204622622),0)</f>
        <v>30437.45814649849</v>
      </c>
      <c r="R58" s="81"/>
      <c r="S58" s="48" t="s">
        <v>312</v>
      </c>
      <c r="T58" s="49">
        <f>SUM(T52:T57)</f>
        <v>1666626.6363636362</v>
      </c>
      <c r="U58" s="164">
        <f>T58/$I$7</f>
        <v>1388.8555303030303</v>
      </c>
      <c r="V58" s="174">
        <f>IF($I$14="no",T58/(($I$7*$I$10)/100),T58/$T$1)</f>
        <v>7.196142644057152</v>
      </c>
      <c r="W58" s="179">
        <f>(T58/$T$13)*100</f>
        <v>42.653221272874426</v>
      </c>
      <c r="X58" s="179">
        <f>(T58/$T$58)*100</f>
        <v>100</v>
      </c>
      <c r="Y58" s="49">
        <f>SUM(Y52:Y57)</f>
        <v>1257970.7393939395</v>
      </c>
      <c r="Z58" s="164">
        <f>Y58/$I$7</f>
        <v>1048.3089494949495</v>
      </c>
      <c r="AA58" s="174">
        <f>IF($I$14="no",Y58/(($I$7*$I$10)/100),Y58/$Y$1)</f>
        <v>5.377873849561122</v>
      </c>
      <c r="AB58" s="179">
        <f>(Y58/$Y$13)*100</f>
        <v>31.899715596362938</v>
      </c>
      <c r="AC58" s="179">
        <f>(Y58/$Y$58)*100</f>
        <v>100</v>
      </c>
      <c r="AD58" s="49">
        <f>SUM(AD52:AD57)</f>
        <v>1002614.8424242424</v>
      </c>
      <c r="AE58" s="164">
        <f>AD58/$I$7</f>
        <v>835.5123686868686</v>
      </c>
      <c r="AF58" s="174">
        <f>IF($I$14="no",AD58/(($I$7*$I$10)/100),AD58/$AD$1)</f>
        <v>4.243779659348995</v>
      </c>
      <c r="AG58" s="179">
        <f>(AD58/$AD$13)*100</f>
        <v>25.191277088686594</v>
      </c>
      <c r="AH58" s="179">
        <f>(AD58/$AD$58)*100</f>
        <v>100</v>
      </c>
      <c r="AI58" s="49">
        <f>SUM(AI52:AI57)</f>
        <v>833642.2787878787</v>
      </c>
      <c r="AJ58" s="164">
        <f>AI58/$I$7</f>
        <v>694.701898989899</v>
      </c>
      <c r="AK58" s="174">
        <f>IF($I$14="no",AI58/(($I$7*$I$10)/100),AI58/$AI$1)</f>
        <v>3.4936311860425984</v>
      </c>
      <c r="AL58" s="179">
        <f>(AI58/$AI$13)*100</f>
        <v>20.753560989263427</v>
      </c>
      <c r="AM58" s="179">
        <f>(AI58/$AI$58)*100</f>
        <v>100</v>
      </c>
      <c r="AN58" s="49">
        <f>SUM(AN52:AN57)</f>
        <v>807044.7151515152</v>
      </c>
      <c r="AO58" s="164">
        <f>AN58/$I$7</f>
        <v>672.5372626262626</v>
      </c>
      <c r="AP58" s="174">
        <f>IF($I$14="no",AN58/(($I$7*$I$10)/100),AN58/$AN$1)</f>
        <v>3.348679224435835</v>
      </c>
      <c r="AQ58" s="179">
        <f>(AN58/$AN$13)*100</f>
        <v>19.906935481178326</v>
      </c>
      <c r="AR58" s="179">
        <f>(AN58/$AN$58)*100</f>
        <v>100</v>
      </c>
      <c r="AS58" s="48" t="s">
        <v>312</v>
      </c>
      <c r="AT58" s="49">
        <f>SUM(AT52:AT57)</f>
        <v>884874.6515151515</v>
      </c>
      <c r="AU58" s="164">
        <f>AT58/$I$7</f>
        <v>737.3955429292929</v>
      </c>
      <c r="AV58" s="174">
        <f>IF($I$14="no",AT58/(($I$7*$I$10)/100),AT58/$AT$1)</f>
        <v>3.635267136224723</v>
      </c>
      <c r="AW58" s="179">
        <f>(AT58/$AT$13)*100</f>
        <v>21.626168708577815</v>
      </c>
      <c r="AX58" s="179">
        <f>(AT58/$AT$58)*100</f>
        <v>100</v>
      </c>
      <c r="AY58" s="49">
        <f>SUM(AY52:AY57)</f>
        <v>832314.5878787879</v>
      </c>
      <c r="AZ58" s="164">
        <f>AY58/$I$7</f>
        <v>693.5954898989899</v>
      </c>
      <c r="BA58" s="174">
        <f>IF($I$14="no",AY58/(($I$7*$I$10)/100),AY58/$AY$1)</f>
        <v>3.3854835567520767</v>
      </c>
      <c r="BB58" s="179">
        <f>(AY58/$AY$13)*100</f>
        <v>20.15456776882572</v>
      </c>
      <c r="BC58" s="179">
        <f>(AY58/$AY$58)*100</f>
        <v>100</v>
      </c>
      <c r="BD58" s="49">
        <f>SUM(BD52:BD57)</f>
        <v>779754.5242424243</v>
      </c>
      <c r="BE58" s="164">
        <f>BD58/$I$7</f>
        <v>649.7954368686869</v>
      </c>
      <c r="BF58" s="174">
        <f>IF($I$14="no",BD58/(($I$7*$I$10)/100),BD58/$BD$1)</f>
        <v>3.1402898229727194</v>
      </c>
      <c r="BG58" s="179">
        <f>(BD58/$BD$13)*100</f>
        <v>18.708078705770593</v>
      </c>
      <c r="BH58" s="179">
        <f>(BD58/$BD$58)*100</f>
        <v>100</v>
      </c>
      <c r="BI58" s="49">
        <f>SUM(BI52:BI57)</f>
        <v>726654.4606060606</v>
      </c>
      <c r="BJ58" s="164">
        <f>BI58/$I$7</f>
        <v>605.5453838383838</v>
      </c>
      <c r="BK58" s="174">
        <f>IF($I$14="no",BI58/(($I$7*$I$10)/100),BI58/$BI$1)</f>
        <v>2.8974663338153333</v>
      </c>
      <c r="BL58" s="179">
        <f>(BI58/$BI$13)*100</f>
        <v>17.273554270601743</v>
      </c>
      <c r="BM58" s="179">
        <f>(BI58/$BI$58)*100</f>
        <v>100</v>
      </c>
      <c r="BN58" s="49">
        <f>SUM(BN52:BN57)</f>
        <v>703306.896969697</v>
      </c>
      <c r="BO58" s="164">
        <f>BN58/$I$7</f>
        <v>586.0890808080808</v>
      </c>
      <c r="BP58" s="174">
        <f>IF($I$14="no",BN58/(($I$7*$I$10)/100),BN58/$BN$1)</f>
        <v>2.776604078419652</v>
      </c>
      <c r="BQ58" s="179">
        <f>(BN58/$BN$13)*100</f>
        <v>16.564499661635175</v>
      </c>
      <c r="BR58" s="179">
        <f>(BN58/$BN$58)*100</f>
        <v>100</v>
      </c>
      <c r="BS58" s="48" t="s">
        <v>312</v>
      </c>
      <c r="BT58" s="49">
        <f>SUM(BT52:BT57)</f>
        <v>837037.7424242424</v>
      </c>
      <c r="BU58" s="164">
        <f>BT58/$I$7</f>
        <v>697.531452020202</v>
      </c>
      <c r="BV58" s="174">
        <f>IF($I$14="no",BT58/(($I$7*$I$10)/100),BT58/$BT$1)</f>
        <v>3.2718452020826088</v>
      </c>
      <c r="BW58" s="179">
        <f>(BT58/$BT$13)*100</f>
        <v>19.532390263196405</v>
      </c>
      <c r="BX58" s="179">
        <f>(BT58/$BT$58)*100</f>
        <v>100</v>
      </c>
      <c r="BY58" s="49">
        <f>SUM(BY52:BY57)</f>
        <v>783744.9515151515</v>
      </c>
      <c r="BZ58" s="164">
        <f>BY58/$I$7</f>
        <v>653.120792929293</v>
      </c>
      <c r="CA58" s="174">
        <f>IF($I$14="no",BY58/(($I$7*$I$10)/100),BY58/$BY$1)</f>
        <v>3.033200295888915</v>
      </c>
      <c r="CB58" s="179">
        <f>(BY58/$BY$13)*100</f>
        <v>18.1200446357132</v>
      </c>
      <c r="CC58" s="179">
        <f>(BY58/$BY$58)*100</f>
        <v>100</v>
      </c>
      <c r="CD58" s="49">
        <f>SUM(CD52:CD57)</f>
        <v>730452.1606060605</v>
      </c>
      <c r="CE58" s="164">
        <f>CD58/$I$7</f>
        <v>608.7101338383837</v>
      </c>
      <c r="CF58" s="174">
        <f>IF($I$14="no",CD58/(($I$7*$I$10)/100),CD58/$CD$1)</f>
        <v>2.798960293709439</v>
      </c>
      <c r="CG58" s="179">
        <f>(CD58/$CD$13)*100</f>
        <v>16.731994448371317</v>
      </c>
      <c r="CH58" s="179">
        <f>(CD58/$CD$58)*100</f>
        <v>100</v>
      </c>
      <c r="CI58" s="49">
        <f>SUM(CI52:CI57)</f>
        <v>677159.3696969697</v>
      </c>
      <c r="CJ58" s="164">
        <f>CI58/$I$7</f>
        <v>564.2994747474748</v>
      </c>
      <c r="CK58" s="174">
        <f>IF($I$14="no",CI58/(($I$7*$I$10)/100),CI58/$CI$1)</f>
        <v>2.569061363987994</v>
      </c>
      <c r="CL58" s="179">
        <f>(CI58/$CI$13)*100</f>
        <v>15.367936184548055</v>
      </c>
      <c r="CM58" s="179">
        <f>(CI58/$CI$58)*100</f>
        <v>100</v>
      </c>
      <c r="CN58" s="49">
        <f>SUM(CN52:CN57)</f>
        <v>653079.0787878789</v>
      </c>
      <c r="CO58" s="164">
        <f>CN58/$I$7</f>
        <v>544.2325656565657</v>
      </c>
      <c r="CP58" s="174">
        <f>IF($I$14="no",CN58/(($I$7*$I$10)/100),CN58/$CN$1)</f>
        <v>2.453171911704207</v>
      </c>
      <c r="CQ58" s="179">
        <f>(CN58/$CN$13)*100</f>
        <v>14.684408897236843</v>
      </c>
      <c r="CR58" s="179">
        <f>(CN58/$CN$58)*100</f>
        <v>100</v>
      </c>
      <c r="CS58" s="48" t="s">
        <v>312</v>
      </c>
      <c r="CT58" s="49">
        <f>SUM(CT52:CT57)</f>
        <v>732886.287878788</v>
      </c>
      <c r="CU58" s="164">
        <f>CT58/$I$7</f>
        <v>610.7385732323233</v>
      </c>
      <c r="CV58" s="174">
        <f>IF($I$14="no",CT58/(($I$7*$I$10)/100),CT58/$CT$1)</f>
        <v>2.725696110420182</v>
      </c>
      <c r="CW58" s="179">
        <f>(CT58/$CT$13)*100</f>
        <v>16.326409194286697</v>
      </c>
      <c r="CX58" s="179">
        <f>(CT58/$CT$58)*100</f>
        <v>100</v>
      </c>
      <c r="CY58" s="49">
        <f>SUM(CY52:CY57)</f>
        <v>695104.696969697</v>
      </c>
      <c r="CZ58" s="164">
        <f>CY58/$I$7</f>
        <v>579.2539141414142</v>
      </c>
      <c r="DA58" s="174">
        <f>IF($I$14="no",CY58/(($I$7*$I$10)/100),CY58/$CY$1)</f>
        <v>2.5595857730364235</v>
      </c>
      <c r="DB58" s="179">
        <f>(CY58/$CY$13)*100</f>
        <v>15.341402063704102</v>
      </c>
      <c r="DC58" s="179">
        <f>(CY58/$CY$58)*100</f>
        <v>100</v>
      </c>
      <c r="DD58" s="49">
        <f>SUM(DD52:DD57)</f>
        <v>657323.1060606061</v>
      </c>
      <c r="DE58" s="164">
        <f>DD58/$I$7</f>
        <v>547.7692550505051</v>
      </c>
      <c r="DF58" s="174">
        <f>IF($I$14="no",DD58/(($I$7*$I$10)/100),DD58/$DD$1)</f>
        <v>2.3964975503513313</v>
      </c>
      <c r="DG58" s="179">
        <f>(DD58/$DD$13)*100</f>
        <v>14.373146852957252</v>
      </c>
      <c r="DH58" s="179">
        <f>(DD58/$DD$58)*100</f>
        <v>100</v>
      </c>
      <c r="DI58" s="49">
        <f>SUM(DI52:DI57)</f>
        <v>619541.5151515151</v>
      </c>
      <c r="DJ58" s="164">
        <f>DI58/$I$7</f>
        <v>516.284595959596</v>
      </c>
      <c r="DK58" s="174">
        <f>IF($I$14="no",DI58/(($I$7*$I$10)/100),DI58/$DI$1)</f>
        <v>2.236387882240237</v>
      </c>
      <c r="DL58" s="179">
        <f>(DI58/$DI$13)*100</f>
        <v>13.421434085007617</v>
      </c>
      <c r="DM58" s="179">
        <f>(DI58/$DI$58)*100</f>
        <v>100</v>
      </c>
      <c r="DN58" s="92">
        <f>SUM(DN52:DN57)</f>
        <v>610972.4242424242</v>
      </c>
      <c r="DO58" s="164">
        <f>DN58/$I$7</f>
        <v>509.1436868686868</v>
      </c>
      <c r="DP58" s="174">
        <f>IF($I$14="no",DN58/(($I$7*$I$10)/100),DN58/$DN$1)</f>
        <v>2.183619440995749</v>
      </c>
      <c r="DQ58" s="179">
        <f>(DN58/$DN$13)*100</f>
        <v>13.113031242526269</v>
      </c>
      <c r="DR58" s="188">
        <f>(DN58/$DN$58)*100</f>
        <v>100</v>
      </c>
      <c r="DT58" s="71">
        <v>20</v>
      </c>
      <c r="DU58" s="107">
        <f t="shared" si="37"/>
        <v>548696.8790104203</v>
      </c>
      <c r="DV58" s="107">
        <f t="shared" si="112"/>
        <v>432296.35778797534</v>
      </c>
      <c r="DW58" s="107">
        <f t="shared" si="112"/>
        <v>3323.7820659217045</v>
      </c>
      <c r="DX58" s="107">
        <f t="shared" si="112"/>
        <v>3476.4047118058647</v>
      </c>
      <c r="DY58" s="107">
        <f t="shared" si="112"/>
        <v>1865.3878941397325</v>
      </c>
      <c r="DZ58" s="10">
        <f t="shared" si="112"/>
        <v>37065.56011860154</v>
      </c>
      <c r="EA58" s="79">
        <f t="shared" si="39"/>
        <v>144800.5066691792</v>
      </c>
      <c r="EB58" s="82"/>
      <c r="EC58" s="77"/>
      <c r="ED58" s="82"/>
      <c r="EE58" s="82"/>
      <c r="EF58" s="82"/>
      <c r="EG58" s="82"/>
      <c r="EH58" s="72" t="s">
        <v>167</v>
      </c>
      <c r="EI58" s="73">
        <f aca="true" t="shared" si="116" ref="EI58:ER58">ROUND(SUM(EI38:EI57),0)</f>
        <v>39775</v>
      </c>
      <c r="EJ58" s="73">
        <f t="shared" si="116"/>
        <v>22202</v>
      </c>
      <c r="EK58" s="73">
        <f t="shared" si="116"/>
        <v>61977</v>
      </c>
      <c r="EL58" s="73">
        <f t="shared" si="116"/>
        <v>146250</v>
      </c>
      <c r="EM58" s="73">
        <f t="shared" si="116"/>
        <v>41749</v>
      </c>
      <c r="EN58" s="73">
        <f t="shared" si="116"/>
        <v>187999</v>
      </c>
      <c r="EO58" s="73">
        <f t="shared" si="116"/>
        <v>86350</v>
      </c>
      <c r="EP58" s="73">
        <f t="shared" si="116"/>
        <v>48201</v>
      </c>
      <c r="EQ58" s="73">
        <f t="shared" si="116"/>
        <v>134551</v>
      </c>
      <c r="ER58" s="73">
        <f t="shared" si="116"/>
        <v>12150</v>
      </c>
      <c r="ES58" s="73">
        <f aca="true" t="shared" si="117" ref="ES58:FF58">ROUND(SUM(ES38:ES57),0)</f>
        <v>6782</v>
      </c>
      <c r="ET58" s="73">
        <f t="shared" si="117"/>
        <v>18932</v>
      </c>
      <c r="EU58" s="73">
        <f t="shared" si="117"/>
        <v>112500</v>
      </c>
      <c r="EV58" s="73">
        <f t="shared" si="117"/>
        <v>62798</v>
      </c>
      <c r="EW58" s="73">
        <f t="shared" si="117"/>
        <v>175298</v>
      </c>
      <c r="EX58" s="73">
        <f t="shared" si="117"/>
        <v>20250</v>
      </c>
      <c r="EY58" s="73">
        <f t="shared" si="117"/>
        <v>11304</v>
      </c>
      <c r="EZ58" s="73">
        <f t="shared" si="117"/>
        <v>31554</v>
      </c>
      <c r="FA58" s="73">
        <f t="shared" si="117"/>
        <v>21525</v>
      </c>
      <c r="FB58" s="73">
        <f t="shared" si="117"/>
        <v>12015</v>
      </c>
      <c r="FC58" s="73">
        <f t="shared" si="117"/>
        <v>33540</v>
      </c>
      <c r="FD58" s="73">
        <f t="shared" si="117"/>
        <v>525825</v>
      </c>
      <c r="FE58" s="73">
        <f t="shared" si="117"/>
        <v>150103</v>
      </c>
      <c r="FF58" s="74">
        <f t="shared" si="117"/>
        <v>675928</v>
      </c>
      <c r="FH58" s="75"/>
      <c r="FI58" s="302"/>
      <c r="FJ58" s="96"/>
      <c r="FK58" s="96"/>
      <c r="FL58" s="30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E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</row>
    <row r="59" spans="1:199" ht="17.25" thickBot="1" thickTop="1">
      <c r="A59" s="480">
        <v>2</v>
      </c>
      <c r="B59" s="412" t="s">
        <v>313</v>
      </c>
      <c r="C59" s="413" t="s">
        <v>209</v>
      </c>
      <c r="D59" s="485">
        <v>1250</v>
      </c>
      <c r="E59" s="458">
        <f t="shared" si="114"/>
        <v>2500</v>
      </c>
      <c r="G59" s="53" t="s">
        <v>314</v>
      </c>
      <c r="H59" s="442"/>
      <c r="I59" s="135"/>
      <c r="J59" s="203"/>
      <c r="K59" s="254">
        <f>IF(($T$3+$Y$3+$AD$3+$AI$3+$AN$3)&gt;=$E$163,5,100)</f>
        <v>100</v>
      </c>
      <c r="L59" s="254" t="s">
        <v>315</v>
      </c>
      <c r="M59" s="10">
        <f>$EA$74</f>
        <v>628104.7545726509</v>
      </c>
      <c r="N59" s="285"/>
      <c r="O59" s="254">
        <f>($AY$2/305)/2.204622622</f>
        <v>30.468526586885726</v>
      </c>
      <c r="P59" s="90">
        <f t="shared" si="115"/>
        <v>0.0568</v>
      </c>
      <c r="Q59" s="10">
        <f>IF($I$14="yes",P59*((($AY$1*100)-($I$7*$I$10))/2.204622622),0)</f>
        <v>36708.785923819756</v>
      </c>
      <c r="R59" s="262"/>
      <c r="S59" s="48" t="s">
        <v>316</v>
      </c>
      <c r="T59" s="49">
        <f>IF(T49+T41-T58&gt;0,T49+T41-T58,0)</f>
        <v>0</v>
      </c>
      <c r="U59" s="164">
        <f>T59/$I$7</f>
        <v>0</v>
      </c>
      <c r="V59" s="174">
        <f>IF($I$14="no",T59/(($I$7*$I$10)/100),T59/$T$1)</f>
        <v>0</v>
      </c>
      <c r="W59" s="179">
        <f>(T59/$T$13)*100</f>
        <v>0</v>
      </c>
      <c r="X59" s="174"/>
      <c r="Y59" s="49">
        <f>IF(Y49+Y41-Y58&gt;0,Y49+Y41-Y58,0)</f>
        <v>0</v>
      </c>
      <c r="Z59" s="49">
        <f>IF(Z49+Z41-Z58&gt;0,Z49+Z41-Z58,0)</f>
        <v>0</v>
      </c>
      <c r="AA59" s="231">
        <f>IF(AA49+AA41-AA58&gt;0,AA49+AA41-AA58,0)</f>
        <v>0</v>
      </c>
      <c r="AB59" s="230">
        <f>IF(AB49+AB41-AB58&gt;0,AB49+AB41-AB58,0)</f>
        <v>0</v>
      </c>
      <c r="AC59" s="49"/>
      <c r="AD59" s="49">
        <f>IF(AD49+AD41-AD58&gt;0,AD49+AD41-AD58,0)</f>
        <v>0</v>
      </c>
      <c r="AE59" s="49">
        <f>IF(AE49+AE41-AE58&gt;0,AE49+AE41-AE58,0)</f>
        <v>0</v>
      </c>
      <c r="AF59" s="231">
        <f>IF(AF49+AF41-AF58&gt;0,AF49+AF41-AF58,0)</f>
        <v>0</v>
      </c>
      <c r="AG59" s="230">
        <f>IF(AG49+AG41-AG58&gt;0,AG49+AG41-AG58,0)</f>
        <v>0</v>
      </c>
      <c r="AH59" s="49"/>
      <c r="AI59" s="49">
        <f>IF(AI49+AI41-AI58&gt;0,AI49+AI41-AI58,0)</f>
        <v>0</v>
      </c>
      <c r="AJ59" s="49">
        <f>IF(AJ49+AJ41-AJ58&gt;0,AJ49+AJ41-AJ58,0)</f>
        <v>0</v>
      </c>
      <c r="AK59" s="231">
        <f>IF(AK49+AK41-AK58&gt;0,AK49+AK41-AK58,0)</f>
        <v>0</v>
      </c>
      <c r="AL59" s="230">
        <f>IF(AL49+AL41-AL58&gt;0,AL49+AL41-AL58,0)</f>
        <v>0</v>
      </c>
      <c r="AM59" s="49"/>
      <c r="AN59" s="49">
        <f>IF(AN49+AN41-AN58&gt;0,AN49+AN41-AN58,0)</f>
        <v>0</v>
      </c>
      <c r="AO59" s="164">
        <f>AN59/$I$7</f>
        <v>0</v>
      </c>
      <c r="AP59" s="465">
        <f>IF($I$14="no",AN59/(($I$7*$I$10)/100),AN59/$AN$1)</f>
        <v>0</v>
      </c>
      <c r="AQ59" s="179">
        <f>(AN59/$AN$13)*100</f>
        <v>0</v>
      </c>
      <c r="AR59" s="174"/>
      <c r="AS59" s="48" t="s">
        <v>316</v>
      </c>
      <c r="AT59" s="49">
        <f>IF(AT49+AT41-AT58&gt;0,AT49+AT41-AT58,0)</f>
        <v>0</v>
      </c>
      <c r="AU59" s="49">
        <f>IF(AU49+AU41-AU58&gt;0,AU49+AU41-AU58,0)</f>
        <v>0</v>
      </c>
      <c r="AV59" s="231">
        <f>IF(AV49+AV41-AV58&gt;0,AV49+AV41-AV58,0)</f>
        <v>0</v>
      </c>
      <c r="AW59" s="230">
        <f>IF(AW49+AW41-AW58&gt;0,AW49+AW41-AW58,0)</f>
        <v>0</v>
      </c>
      <c r="AX59" s="49"/>
      <c r="AY59" s="49">
        <f>IF(AY49+AY41-AY58&gt;0,AY49+AY41-AY58,0)</f>
        <v>0</v>
      </c>
      <c r="AZ59" s="49">
        <f>IF(AZ49+AZ41-AZ58&gt;0,AZ49+AZ41-AZ58,0)</f>
        <v>0</v>
      </c>
      <c r="BA59" s="231">
        <f>IF(BA49+BA41-BA58&gt;0,BA49+BA41-BA58,0)</f>
        <v>0</v>
      </c>
      <c r="BB59" s="230">
        <f>IF(BB49+BB41-BB58&gt;0,BB49+BB41-BB58,0)</f>
        <v>0</v>
      </c>
      <c r="BC59" s="49"/>
      <c r="BD59" s="49">
        <f>IF(BD49+BD41-BD58&gt;0,BD49+BD41-BD58,0)</f>
        <v>0</v>
      </c>
      <c r="BE59" s="49">
        <f>IF(BE49+BE41-BE58&gt;0,BE49+BE41-BE58,0)</f>
        <v>0</v>
      </c>
      <c r="BF59" s="231">
        <f>IF(BF49+BF41-BF58&gt;0,BF49+BF41-BF58,0)</f>
        <v>0</v>
      </c>
      <c r="BG59" s="230">
        <f>IF(BG49+BG41-BG58&gt;0,BG49+BG41-BG58,0)</f>
        <v>0</v>
      </c>
      <c r="BH59" s="49"/>
      <c r="BI59" s="49">
        <f>IF(BI49+BI41-BI58&gt;0,BI49+BI41-BI58,0)</f>
        <v>0</v>
      </c>
      <c r="BJ59" s="49">
        <f>IF(BJ49+BJ41-BJ58&gt;0,BJ49+BJ41-BJ58,0)</f>
        <v>0</v>
      </c>
      <c r="BK59" s="231">
        <f>IF(BK49+BK41-BK58&gt;0,BK49+BK41-BK58,0)</f>
        <v>0</v>
      </c>
      <c r="BL59" s="230">
        <f>IF(BL49+BL41-BL58&gt;0,BL49+BL41-BL58,0)</f>
        <v>0</v>
      </c>
      <c r="BM59" s="49"/>
      <c r="BN59" s="49">
        <f>IF(BN49+BN41-BN58&gt;0,BN49+BN41-BN58,0)</f>
        <v>0</v>
      </c>
      <c r="BO59" s="164">
        <f>BN59/$I$7</f>
        <v>0</v>
      </c>
      <c r="BP59" s="174">
        <f>IF($I$14="no",BN59/(($I$7*$I$10)/100),BN59/$BN$1)</f>
        <v>0</v>
      </c>
      <c r="BQ59" s="179">
        <f>(BN59/$BN$13)*100</f>
        <v>0</v>
      </c>
      <c r="BR59" s="174"/>
      <c r="BS59" s="48" t="s">
        <v>316</v>
      </c>
      <c r="BT59" s="49">
        <f>IF(BT49+BT41-BT58&gt;0,BT49+BT41-BT58,0)</f>
        <v>0</v>
      </c>
      <c r="BU59" s="49">
        <f>IF(BU49+BU41-BU58&gt;0,BU49+BU41-BU58,0)</f>
        <v>0</v>
      </c>
      <c r="BV59" s="231">
        <f>IF(BV49+BV41-BV58&gt;0,BV49+BV41-BV58,0)</f>
        <v>0</v>
      </c>
      <c r="BW59" s="230">
        <f>IF(BW49+BW41-BW58&gt;0,BW49+BW41-BW58,0)</f>
        <v>0</v>
      </c>
      <c r="BX59" s="49"/>
      <c r="BY59" s="49">
        <f>IF(BY49+BY41-BY58&gt;0,BY49+BY41-BY58,0)</f>
        <v>0</v>
      </c>
      <c r="BZ59" s="49">
        <f>IF(BZ49+BZ41-BZ58&gt;0,BZ49+BZ41-BZ58,0)</f>
        <v>0</v>
      </c>
      <c r="CA59" s="231">
        <f>IF(CA49+CA41-CA58&gt;0,CA49+CA41-CA58,0)</f>
        <v>0</v>
      </c>
      <c r="CB59" s="230">
        <f>IF(CB49+CB41-CB58&gt;0,CB49+CB41-CB58,0)</f>
        <v>0</v>
      </c>
      <c r="CC59" s="49"/>
      <c r="CD59" s="49">
        <f>IF(CD49+CD41-CD58&gt;0,CD49+CD41-CD58,0)</f>
        <v>0</v>
      </c>
      <c r="CE59" s="49">
        <f>IF(CE49+CE41-CE58&gt;0,CE49+CE41-CE58,0)</f>
        <v>0</v>
      </c>
      <c r="CF59" s="231">
        <f>IF(CF49+CF41-CF58&gt;0,CF49+CF41-CF58,0)</f>
        <v>0</v>
      </c>
      <c r="CG59" s="230">
        <f>IF(CG49+CG41-CG58&gt;0,CG49+CG41-CG58,0)</f>
        <v>0</v>
      </c>
      <c r="CH59" s="49"/>
      <c r="CI59" s="49">
        <f>IF(CI49+CI41-CI58&gt;0,CI49+CI41-CI58,0)</f>
        <v>0</v>
      </c>
      <c r="CJ59" s="49">
        <f>IF(CJ49+CJ41-CJ58&gt;0,CJ49+CJ41-CJ58,0)</f>
        <v>0</v>
      </c>
      <c r="CK59" s="231">
        <f>IF(CK49+CK41-CK58&gt;0,CK49+CK41-CK58,0)</f>
        <v>0</v>
      </c>
      <c r="CL59" s="230">
        <f>IF(CL49+CL41-CL58&gt;0,CL49+CL41-CL58,0)</f>
        <v>0</v>
      </c>
      <c r="CM59" s="230"/>
      <c r="CN59" s="49">
        <f>IF(CN49+CN41-CN58&gt;0,CN49+CN41-CN58,0)</f>
        <v>0</v>
      </c>
      <c r="CO59" s="164">
        <f>CN59/$I$7</f>
        <v>0</v>
      </c>
      <c r="CP59" s="174">
        <f>IF($I$14="no",CN59/(($I$7*$I$10)/100),CN59/$CN$1)</f>
        <v>0</v>
      </c>
      <c r="CQ59" s="179">
        <f>(CN59/$CN$13)*100</f>
        <v>0</v>
      </c>
      <c r="CR59" s="174"/>
      <c r="CS59" s="48" t="s">
        <v>316</v>
      </c>
      <c r="CT59" s="49">
        <f>IF(CT49+CT41-CT58&gt;0,CT49+CT41-CT58,0)</f>
        <v>0</v>
      </c>
      <c r="CU59" s="49">
        <f>IF(CU49+CU41-CU58&gt;0,CU49+CU41-CU58,0)</f>
        <v>0</v>
      </c>
      <c r="CV59" s="231">
        <f>IF(CV49+CV41-CV58&gt;0,CV49+CV41-CV58,0)</f>
        <v>0</v>
      </c>
      <c r="CW59" s="230">
        <f>IF(CW49+CW41-CW58&gt;0,CW49+CW41-CW58,0)</f>
        <v>0</v>
      </c>
      <c r="CX59" s="230"/>
      <c r="CY59" s="49">
        <f>IF(CY49+CY41-CY58&gt;0,CY49+CY41-CY58,0)</f>
        <v>0</v>
      </c>
      <c r="CZ59" s="49">
        <f>IF(CZ49+CZ41-CZ58&gt;0,CZ49+CZ41-CZ58,0)</f>
        <v>0</v>
      </c>
      <c r="DA59" s="231">
        <f>IF(DA49+DA41-DA58&gt;0,DA49+DA41-DA58,0)</f>
        <v>0</v>
      </c>
      <c r="DB59" s="230">
        <f>IF(DB49+DB41-DB58&gt;0,DB49+DB41-DB58,0)</f>
        <v>0</v>
      </c>
      <c r="DC59" s="230"/>
      <c r="DD59" s="49">
        <f>IF(DD49+DD41-DD58&gt;0,DD49+DD41-DD58,0)</f>
        <v>96512.69577909645</v>
      </c>
      <c r="DE59" s="49">
        <f>IF(DE49+DE41-DE58&gt;0,DE49+DE41-DE58,0)</f>
        <v>80.42724648258036</v>
      </c>
      <c r="DF59" s="231">
        <f>IF(DF49+DF41-DF58&gt;0,DF49+DF41-DF58,0)</f>
        <v>0.3518702398863831</v>
      </c>
      <c r="DG59" s="230">
        <f>IF(DG49+DG41-DG58&gt;0,DG49+DG41-DG58,0)</f>
        <v>2.110364198090185</v>
      </c>
      <c r="DH59" s="230"/>
      <c r="DI59" s="49">
        <f>IF(DI49+DI41-DI58&gt;0,DI49+DI41-DI58,0)</f>
        <v>195777.96741520707</v>
      </c>
      <c r="DJ59" s="49">
        <f>IF(DJ49+DJ41-DJ58&gt;0,DJ49+DJ41-DJ58,0)</f>
        <v>163.1483061793391</v>
      </c>
      <c r="DK59" s="231">
        <f>IF(DK49+DK41-DK58&gt;0,DK49+DK41-DK58,0)</f>
        <v>0.7067088536107482</v>
      </c>
      <c r="DL59" s="230">
        <f>IF(DL49+DL41-DL58&gt;0,DL49+DL41-DL58,0)</f>
        <v>4.241234882084308</v>
      </c>
      <c r="DM59" s="230"/>
      <c r="DN59" s="92">
        <f>IF(DN49+DN41-DN58&gt;0,DN49+DN41-DN58,0)</f>
        <v>268693.93443010224</v>
      </c>
      <c r="DO59" s="164">
        <f>DN59/$I$7</f>
        <v>223.9116120250852</v>
      </c>
      <c r="DP59" s="174">
        <f>IF($I$14="no",DN59/(($I$7*$I$10)/100),DN59/$DN$1)</f>
        <v>0.9603138793485136</v>
      </c>
      <c r="DQ59" s="179">
        <f>(DN59/$DN$13)*100</f>
        <v>5.766859218283162</v>
      </c>
      <c r="DR59" s="232"/>
      <c r="DT59" s="72" t="s">
        <v>167</v>
      </c>
      <c r="DU59" s="73">
        <f aca="true" t="shared" si="118" ref="DU59:EA59">SUM(DU39:DU58)</f>
        <v>25091248.084160797</v>
      </c>
      <c r="DV59" s="73">
        <f t="shared" si="118"/>
        <v>21351520.012170445</v>
      </c>
      <c r="DW59" s="73">
        <f t="shared" si="118"/>
        <v>170045.08815642534</v>
      </c>
      <c r="DX59" s="73">
        <f t="shared" si="118"/>
        <v>177853.28097993467</v>
      </c>
      <c r="DY59" s="73">
        <f t="shared" si="118"/>
        <v>95433.4678428918</v>
      </c>
      <c r="DZ59" s="74">
        <f t="shared" si="118"/>
        <v>2862911.729085432</v>
      </c>
      <c r="EA59" s="74">
        <f t="shared" si="118"/>
        <v>6159307.964096524</v>
      </c>
      <c r="EH59" s="82"/>
      <c r="EI59" s="82" t="str">
        <f>IF(EI58=ROUND($E$38*$I$82*$I$108,0),"OK","WARNING!")</f>
        <v>OK</v>
      </c>
      <c r="EL59" s="82" t="str">
        <f>IF(EL58=ROUND(3*($E$47*$I$82*$I$108),0),"OK","WARNING!")</f>
        <v>OK</v>
      </c>
      <c r="EO59" s="82" t="str">
        <f>IF(EO58=ROUND($E$61*$I$84*$I$110,0),"OK","WARNING!")</f>
        <v>OK</v>
      </c>
      <c r="ER59" s="82" t="str">
        <f>IF(ER58=ROUND($E$70*$I$85*$I$111,0),"OK","WARNING!")</f>
        <v>OK</v>
      </c>
      <c r="EU59" s="82" t="str">
        <f>IF(EU58=ROUND($E$88*$I$86*$I$112,0),"OK","WARNING!")</f>
        <v>OK</v>
      </c>
      <c r="EX59" s="82" t="str">
        <f>IF(EX58=ROUND($E$99*$I$87*$I$113,0),"OK","WARNING!")</f>
        <v>OK</v>
      </c>
      <c r="FA59" s="82" t="str">
        <f>IF(FA58=ROUND($E$119*$I$88*$I$114,0),"OK","WARNING!")</f>
        <v>OK</v>
      </c>
      <c r="FD59" s="82" t="str">
        <f>IF(FD58=ROUND(3*($E$152*$I$89*$I$115),0),"OK","WARNING!")</f>
        <v>OK</v>
      </c>
      <c r="FH59" s="58" t="s">
        <v>317</v>
      </c>
      <c r="FM59" s="89"/>
      <c r="FN59" s="89"/>
      <c r="FO59" s="89"/>
      <c r="FP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</row>
    <row r="60" spans="1:232" ht="17.25" thickBot="1" thickTop="1">
      <c r="A60" s="481">
        <v>1</v>
      </c>
      <c r="B60" s="414" t="s">
        <v>318</v>
      </c>
      <c r="C60" s="415" t="s">
        <v>209</v>
      </c>
      <c r="D60" s="486">
        <v>14500</v>
      </c>
      <c r="E60" s="459">
        <f t="shared" si="114"/>
        <v>14500</v>
      </c>
      <c r="G60" s="42" t="s">
        <v>319</v>
      </c>
      <c r="H60" s="440"/>
      <c r="I60" s="133"/>
      <c r="J60" s="203"/>
      <c r="K60" s="254">
        <f>IF(($T$3+$Y$3+$AD$3+$AI$3+$AN$3+0.5*$AT$3)&gt;=$E$163,5.5,100)</f>
        <v>100</v>
      </c>
      <c r="L60" s="254" t="s">
        <v>320</v>
      </c>
      <c r="M60" s="10">
        <f>$EA$75</f>
        <v>629116.8102592626</v>
      </c>
      <c r="N60" s="285"/>
      <c r="O60" s="254">
        <f>($BD$2/305)/2.204622622</f>
        <v>30.773211852754585</v>
      </c>
      <c r="P60" s="90">
        <f t="shared" si="115"/>
        <v>0.0569</v>
      </c>
      <c r="Q60" s="10">
        <f>IF($I$14="yes",P60*((($BD$1*100)-($I$7*$I$10))/2.204622622),0)</f>
        <v>43118.606603877204</v>
      </c>
      <c r="R60" s="81"/>
      <c r="S60" s="29" t="s">
        <v>321</v>
      </c>
      <c r="T60" s="102">
        <f>IF(T59&lt;0,0,$I$129*T59)</f>
        <v>0</v>
      </c>
      <c r="U60" s="165">
        <f>T60/$I$7</f>
        <v>0</v>
      </c>
      <c r="V60" s="175">
        <f>IF($I$14="no",T60/(($I$7*$I$10)/100),T60/$T$1)</f>
        <v>0</v>
      </c>
      <c r="W60" s="180">
        <f>(T60/$T$13)*100</f>
        <v>0</v>
      </c>
      <c r="X60" s="175"/>
      <c r="Y60" s="102">
        <f>IF(Y59&lt;0,0,$I$129*Y59)</f>
        <v>0</v>
      </c>
      <c r="Z60" s="165">
        <f>Y60/$I$7</f>
        <v>0</v>
      </c>
      <c r="AA60" s="175">
        <f>IF($I$14="no",Y60/(($I$7*$I$10)/100),Y60/$Y$1)</f>
        <v>0</v>
      </c>
      <c r="AB60" s="180">
        <f>(Y60/$Y$13)*100</f>
        <v>0</v>
      </c>
      <c r="AC60" s="175"/>
      <c r="AD60" s="102">
        <f>IF(AD59&lt;0,0,$I$129*AD59)</f>
        <v>0</v>
      </c>
      <c r="AE60" s="165">
        <f>AD60/$I$7</f>
        <v>0</v>
      </c>
      <c r="AF60" s="175">
        <f>IF($I$14="no",AD60/(($I$7*$I$10)/100),AD60/$AD$1)</f>
        <v>0</v>
      </c>
      <c r="AG60" s="180">
        <f>(AD60/$AD$13)*100</f>
        <v>0</v>
      </c>
      <c r="AH60" s="175"/>
      <c r="AI60" s="102">
        <f>IF(AI59&lt;0,0,$I$129*AI59)</f>
        <v>0</v>
      </c>
      <c r="AJ60" s="165">
        <f>AI60/$I$7</f>
        <v>0</v>
      </c>
      <c r="AK60" s="175">
        <f>IF($I$14="no",AI60/(($I$7*$I$10)/100),AI60/$AI$1)</f>
        <v>0</v>
      </c>
      <c r="AL60" s="180">
        <f>(AI60/$AI$13)*100</f>
        <v>0</v>
      </c>
      <c r="AM60" s="175"/>
      <c r="AN60" s="102">
        <f>IF(AN59&lt;0,0,$I$129*AN59)</f>
        <v>0</v>
      </c>
      <c r="AO60" s="165">
        <f>AN60/$I$7</f>
        <v>0</v>
      </c>
      <c r="AP60" s="466">
        <f>IF($I$14="no",AN60/(($I$7*$I$10)/100),AN60/$AN$1)</f>
        <v>0</v>
      </c>
      <c r="AQ60" s="180">
        <f>(AN60/$AN$13)*100</f>
        <v>0</v>
      </c>
      <c r="AR60" s="175"/>
      <c r="AS60" s="29" t="s">
        <v>321</v>
      </c>
      <c r="AT60" s="102">
        <f>IF(AT59&lt;0,0,$I$129*AT59)</f>
        <v>0</v>
      </c>
      <c r="AU60" s="165">
        <f>AT60/$I$7</f>
        <v>0</v>
      </c>
      <c r="AV60" s="175">
        <f>IF($I$14="no",AT60/(($I$7*$I$10)/100),AT60/$AT$1)</f>
        <v>0</v>
      </c>
      <c r="AW60" s="180">
        <f>(AT60/$AT$13)*100</f>
        <v>0</v>
      </c>
      <c r="AX60" s="175"/>
      <c r="AY60" s="102">
        <f>IF(AY59&lt;0,0,$I$129*AY59)</f>
        <v>0</v>
      </c>
      <c r="AZ60" s="165">
        <f>AY60/$I$7</f>
        <v>0</v>
      </c>
      <c r="BA60" s="175">
        <f>IF($I$14="no",AY60/(($I$7*$I$10)/100),AY60/$AY$1)</f>
        <v>0</v>
      </c>
      <c r="BB60" s="180">
        <f>(AY60/$AY$13)*100</f>
        <v>0</v>
      </c>
      <c r="BC60" s="175"/>
      <c r="BD60" s="102">
        <f>IF(BD59&lt;0,0,$I$129*BD59)</f>
        <v>0</v>
      </c>
      <c r="BE60" s="165">
        <f>BD60/$I$7</f>
        <v>0</v>
      </c>
      <c r="BF60" s="175">
        <f>IF($I$14="no",BD60/(($I$7*$I$10)/100),BD60/$BD$1)</f>
        <v>0</v>
      </c>
      <c r="BG60" s="180">
        <f>(BD60/$BD$13)*100</f>
        <v>0</v>
      </c>
      <c r="BH60" s="175"/>
      <c r="BI60" s="102">
        <f>IF(BI59&lt;0,0,$I$129*BI59)</f>
        <v>0</v>
      </c>
      <c r="BJ60" s="165">
        <f>BI60/$I$7</f>
        <v>0</v>
      </c>
      <c r="BK60" s="175">
        <f>IF($I$14="no",BI60/(($I$7*$I$10)/100),BI60/$BI$1)</f>
        <v>0</v>
      </c>
      <c r="BL60" s="180">
        <f>(BI60/$BI$13)*100</f>
        <v>0</v>
      </c>
      <c r="BM60" s="175"/>
      <c r="BN60" s="102">
        <f>IF(BN59&lt;0,0,$I$129*BN59)</f>
        <v>0</v>
      </c>
      <c r="BO60" s="165">
        <f>BN60/$I$7</f>
        <v>0</v>
      </c>
      <c r="BP60" s="175">
        <f>IF($I$14="no",BN60/(($I$7*$I$10)/100),BN60/$BN$1)</f>
        <v>0</v>
      </c>
      <c r="BQ60" s="180">
        <f>(BN60/$BN$13)*100</f>
        <v>0</v>
      </c>
      <c r="BR60" s="175"/>
      <c r="BS60" s="29" t="s">
        <v>321</v>
      </c>
      <c r="BT60" s="102">
        <f>IF(BT59&lt;0,0,$I$129*BT59)</f>
        <v>0</v>
      </c>
      <c r="BU60" s="165">
        <f>BT60/$I$7</f>
        <v>0</v>
      </c>
      <c r="BV60" s="175">
        <f>IF($I$14="no",BT60/(($I$7*$I$10)/100),BT60/$BT$1)</f>
        <v>0</v>
      </c>
      <c r="BW60" s="180">
        <f>(BT60/$BT$13)*100</f>
        <v>0</v>
      </c>
      <c r="BX60" s="175"/>
      <c r="BY60" s="102">
        <f>IF(BY59&lt;0,0,$I$129*BY59)</f>
        <v>0</v>
      </c>
      <c r="BZ60" s="165">
        <f>BY60/$I$7</f>
        <v>0</v>
      </c>
      <c r="CA60" s="175">
        <f>IF($I$14="no",BY60/(($I$7*$I$10)/100),BY60/$BY$1)</f>
        <v>0</v>
      </c>
      <c r="CB60" s="180">
        <f>(BY60/$BY$13)*100</f>
        <v>0</v>
      </c>
      <c r="CC60" s="175"/>
      <c r="CD60" s="102">
        <f>IF(CD59&lt;0,0,$I$129*CD59)</f>
        <v>0</v>
      </c>
      <c r="CE60" s="165">
        <f>CD60/$I$7</f>
        <v>0</v>
      </c>
      <c r="CF60" s="175">
        <f>IF($I$14="no",CD60/(($I$7*$I$10)/100),CD60/$CD$1)</f>
        <v>0</v>
      </c>
      <c r="CG60" s="180">
        <f>(CD60/$CD$13)*100</f>
        <v>0</v>
      </c>
      <c r="CH60" s="175"/>
      <c r="CI60" s="102">
        <f>IF(CI59&lt;0,0,$I$129*CI59)</f>
        <v>0</v>
      </c>
      <c r="CJ60" s="165">
        <f>CI60/$I$7</f>
        <v>0</v>
      </c>
      <c r="CK60" s="175">
        <f>IF($I$14="no",CI60/(($I$7*$I$10)/100),CI60/$CI$1)</f>
        <v>0</v>
      </c>
      <c r="CL60" s="180">
        <f>(CI60/$CI$13)*100</f>
        <v>0</v>
      </c>
      <c r="CM60" s="175"/>
      <c r="CN60" s="102">
        <f>IF(CN59&lt;0,0,$I$129*CN59)</f>
        <v>0</v>
      </c>
      <c r="CO60" s="165">
        <f>CN60/$I$7</f>
        <v>0</v>
      </c>
      <c r="CP60" s="175">
        <f>IF($I$14="no",CN60/(($I$7*$I$10)/100),CN60/$CN$1)</f>
        <v>0</v>
      </c>
      <c r="CQ60" s="180">
        <f>(CN60/$CN$13)*100</f>
        <v>0</v>
      </c>
      <c r="CR60" s="175"/>
      <c r="CS60" s="29" t="s">
        <v>321</v>
      </c>
      <c r="CT60" s="102">
        <f>IF(CT59&lt;0,0,$I$129*CT59)</f>
        <v>0</v>
      </c>
      <c r="CU60" s="165">
        <f>CT60/$I$7</f>
        <v>0</v>
      </c>
      <c r="CV60" s="175">
        <f>IF($I$14="no",CT60/(($I$7*$I$10)/100),CT60/$CT$1)</f>
        <v>0</v>
      </c>
      <c r="CW60" s="180">
        <f>(CT60/$CT$13)*100</f>
        <v>0</v>
      </c>
      <c r="CX60" s="175"/>
      <c r="CY60" s="102">
        <f>IF(CY59&lt;0,0,$I$129*CY59)</f>
        <v>0</v>
      </c>
      <c r="CZ60" s="165">
        <f>CY60/$I$7</f>
        <v>0</v>
      </c>
      <c r="DA60" s="175">
        <f>IF($I$14="no",CY60/(($I$7*$I$10)/100),CY60/$CY$1)</f>
        <v>0</v>
      </c>
      <c r="DB60" s="180">
        <f>(CY60/$CY$13)*100</f>
        <v>0</v>
      </c>
      <c r="DC60" s="175"/>
      <c r="DD60" s="102">
        <f>IF(DD59&lt;0,0,$I$129*DD59)</f>
        <v>32814.3165648928</v>
      </c>
      <c r="DE60" s="165">
        <f>DD60/$I$7</f>
        <v>27.34526380407733</v>
      </c>
      <c r="DF60" s="175">
        <f>IF($I$14="no",DD60/(($I$7*$I$10)/100),DD60/$DD$1)</f>
        <v>0.11963588156137027</v>
      </c>
      <c r="DG60" s="180">
        <f>(DD60/$DD$13)*100</f>
        <v>0.7175238273506631</v>
      </c>
      <c r="DH60" s="175"/>
      <c r="DI60" s="102">
        <f>IF(DI59&lt;0,0,$I$129*DI59)</f>
        <v>66564.5089211704</v>
      </c>
      <c r="DJ60" s="165">
        <f>DI60/$I$7</f>
        <v>55.470424100975336</v>
      </c>
      <c r="DK60" s="175">
        <f>IF($I$14="no",DI60/(($I$7*$I$10)/100),DI60/$DI$1)</f>
        <v>0.2402810102276543</v>
      </c>
      <c r="DL60" s="180">
        <f>(DI60/$DI$13)*100</f>
        <v>1.4420198599086653</v>
      </c>
      <c r="DM60" s="175"/>
      <c r="DN60" s="106">
        <f>IF(DN59&lt;0,0,$I$129*DN59)</f>
        <v>91355.93770623476</v>
      </c>
      <c r="DO60" s="165">
        <f>DN60/$I$7</f>
        <v>76.12994808852896</v>
      </c>
      <c r="DP60" s="175">
        <f>IF($I$14="no",DN60/(($I$7*$I$10)/100),DN60/$DN$1)</f>
        <v>0.32650671897849465</v>
      </c>
      <c r="DQ60" s="180">
        <f>(DN60/$DN$13)*100</f>
        <v>1.9607321342162753</v>
      </c>
      <c r="DR60" s="191"/>
      <c r="FH60" s="59"/>
      <c r="FI60" s="84" t="s">
        <v>322</v>
      </c>
      <c r="FJ60" s="84" t="s">
        <v>19</v>
      </c>
      <c r="FK60" s="84" t="s">
        <v>19</v>
      </c>
      <c r="FL60" s="84" t="s">
        <v>186</v>
      </c>
      <c r="FM60" s="84" t="s">
        <v>186</v>
      </c>
      <c r="FN60" s="84" t="s">
        <v>187</v>
      </c>
      <c r="FO60" s="84" t="s">
        <v>188</v>
      </c>
      <c r="FP60" s="84" t="s">
        <v>323</v>
      </c>
      <c r="FQ60" s="84" t="s">
        <v>19</v>
      </c>
      <c r="FR60" s="84" t="s">
        <v>19</v>
      </c>
      <c r="FS60" s="84" t="s">
        <v>186</v>
      </c>
      <c r="FT60" s="84" t="s">
        <v>186</v>
      </c>
      <c r="FU60" s="84" t="s">
        <v>187</v>
      </c>
      <c r="FV60" s="84" t="s">
        <v>188</v>
      </c>
      <c r="FW60" s="84" t="s">
        <v>324</v>
      </c>
      <c r="FX60" s="84" t="s">
        <v>19</v>
      </c>
      <c r="FY60" s="84" t="s">
        <v>19</v>
      </c>
      <c r="FZ60" s="84" t="s">
        <v>186</v>
      </c>
      <c r="GA60" s="84" t="s">
        <v>186</v>
      </c>
      <c r="GB60" s="84" t="s">
        <v>187</v>
      </c>
      <c r="GC60" s="84" t="s">
        <v>188</v>
      </c>
      <c r="GD60" s="84" t="s">
        <v>325</v>
      </c>
      <c r="GE60" s="84" t="s">
        <v>19</v>
      </c>
      <c r="GF60" s="84" t="s">
        <v>19</v>
      </c>
      <c r="GG60" s="84" t="s">
        <v>186</v>
      </c>
      <c r="GH60" s="84" t="s">
        <v>186</v>
      </c>
      <c r="GI60" s="84" t="s">
        <v>187</v>
      </c>
      <c r="GJ60" s="84" t="s">
        <v>188</v>
      </c>
      <c r="GK60" s="84" t="s">
        <v>326</v>
      </c>
      <c r="GL60" s="84" t="s">
        <v>19</v>
      </c>
      <c r="GM60" s="84" t="s">
        <v>19</v>
      </c>
      <c r="GN60" s="84" t="s">
        <v>186</v>
      </c>
      <c r="GO60" s="84" t="s">
        <v>186</v>
      </c>
      <c r="GP60" s="84" t="s">
        <v>187</v>
      </c>
      <c r="GQ60" s="84" t="s">
        <v>188</v>
      </c>
      <c r="GR60" s="84" t="s">
        <v>327</v>
      </c>
      <c r="GS60" s="84" t="s">
        <v>19</v>
      </c>
      <c r="GT60" s="84" t="s">
        <v>19</v>
      </c>
      <c r="GU60" s="84" t="s">
        <v>186</v>
      </c>
      <c r="GV60" s="84" t="s">
        <v>186</v>
      </c>
      <c r="GW60" s="84" t="s">
        <v>187</v>
      </c>
      <c r="GX60" s="84" t="s">
        <v>188</v>
      </c>
      <c r="GY60" s="84" t="s">
        <v>328</v>
      </c>
      <c r="GZ60" s="84" t="s">
        <v>19</v>
      </c>
      <c r="HA60" s="84" t="s">
        <v>19</v>
      </c>
      <c r="HB60" s="84" t="s">
        <v>186</v>
      </c>
      <c r="HC60" s="84" t="s">
        <v>186</v>
      </c>
      <c r="HD60" s="84" t="s">
        <v>187</v>
      </c>
      <c r="HE60" s="84" t="s">
        <v>188</v>
      </c>
      <c r="HF60" s="84" t="s">
        <v>329</v>
      </c>
      <c r="HG60" s="84" t="s">
        <v>19</v>
      </c>
      <c r="HH60" s="84" t="s">
        <v>19</v>
      </c>
      <c r="HI60" s="84" t="s">
        <v>186</v>
      </c>
      <c r="HJ60" s="84" t="s">
        <v>186</v>
      </c>
      <c r="HK60" s="84" t="s">
        <v>187</v>
      </c>
      <c r="HL60" s="84" t="s">
        <v>188</v>
      </c>
      <c r="HM60" s="84" t="s">
        <v>330</v>
      </c>
      <c r="HN60" s="84" t="s">
        <v>19</v>
      </c>
      <c r="HO60" s="84" t="s">
        <v>19</v>
      </c>
      <c r="HP60" s="84" t="s">
        <v>186</v>
      </c>
      <c r="HQ60" s="84" t="s">
        <v>186</v>
      </c>
      <c r="HR60" s="84" t="s">
        <v>187</v>
      </c>
      <c r="HS60" s="84" t="s">
        <v>188</v>
      </c>
      <c r="HT60" s="7"/>
      <c r="HU60" s="7"/>
      <c r="HV60" s="84" t="s">
        <v>19</v>
      </c>
      <c r="HW60" s="84" t="s">
        <v>19</v>
      </c>
      <c r="HX60" s="303" t="s">
        <v>19</v>
      </c>
    </row>
    <row r="61" spans="1:232" ht="17.25" thickBot="1" thickTop="1">
      <c r="A61" s="13"/>
      <c r="B61" s="418"/>
      <c r="C61" s="425"/>
      <c r="D61" s="376" t="s">
        <v>104</v>
      </c>
      <c r="E61" s="368">
        <f>ROUND(SUM(E53:E60),0)</f>
        <v>172700</v>
      </c>
      <c r="G61" s="396" t="s">
        <v>331</v>
      </c>
      <c r="H61" s="440"/>
      <c r="I61" s="503">
        <v>1</v>
      </c>
      <c r="J61" s="203"/>
      <c r="K61" s="254">
        <f>IF(($T$3+$Y$3+$AD$3+$AI$3+$AN$3+$AT$3)&gt;=$E$163,6,100)</f>
        <v>100</v>
      </c>
      <c r="L61" s="254" t="s">
        <v>332</v>
      </c>
      <c r="M61" s="10">
        <f>$EA$76</f>
        <v>640420.9353747484</v>
      </c>
      <c r="N61" s="285"/>
      <c r="O61" s="254">
        <f>($BI$2/305)/2.204622622</f>
        <v>31.08094397128213</v>
      </c>
      <c r="P61" s="90">
        <f t="shared" si="115"/>
        <v>0.057</v>
      </c>
      <c r="Q61" s="10">
        <f>IF($I$14="yes",P61*((($BI$1*100)-($I$7*$I$10))/2.204622622),0)</f>
        <v>49614.29368556177</v>
      </c>
      <c r="R61" s="81"/>
      <c r="S61" s="32" t="s">
        <v>333</v>
      </c>
      <c r="T61" s="51">
        <f>T49-T60</f>
        <v>-550848.8755150829</v>
      </c>
      <c r="U61" s="166">
        <f>T61/$I$7</f>
        <v>-459.04072959590235</v>
      </c>
      <c r="V61" s="176">
        <f>IF($I$14="no",T61/(($I$7*$I$10)/100),T61/$T$1)</f>
        <v>-2.3784493761445717</v>
      </c>
      <c r="W61" s="181">
        <f>(T61/$T$13)*100</f>
        <v>-14.097625984499434</v>
      </c>
      <c r="X61" s="176"/>
      <c r="Y61" s="51">
        <f>Y49-Y60</f>
        <v>-523770.80791378533</v>
      </c>
      <c r="Z61" s="166">
        <f>Y61/$I$7</f>
        <v>-436.47567326148777</v>
      </c>
      <c r="AA61" s="176">
        <f>IF($I$14="no",Y61/(($I$7*$I$10)/100),Y61/$Y$1)</f>
        <v>-2.2391405800107105</v>
      </c>
      <c r="AB61" s="181">
        <f>(Y61/$Y$13)*100</f>
        <v>-13.281819113039608</v>
      </c>
      <c r="AC61" s="176"/>
      <c r="AD61" s="51">
        <f>AD49-AD60</f>
        <v>-496443.07508704485</v>
      </c>
      <c r="AE61" s="166">
        <f>AD61/$I$7</f>
        <v>-413.7025625725374</v>
      </c>
      <c r="AF61" s="176">
        <f>IF($I$14="no",AD61/(($I$7*$I$10)/100),AD61/$AD$1)</f>
        <v>-2.1013004545045484</v>
      </c>
      <c r="AG61" s="181">
        <f>(AD61/$AD$13)*100</f>
        <v>-12.473419038001472</v>
      </c>
      <c r="AH61" s="176"/>
      <c r="AI61" s="51">
        <f>AI49-AI60</f>
        <v>-468863.28648511926</v>
      </c>
      <c r="AJ61" s="166">
        <f>AI61/$I$7</f>
        <v>-390.71940540426607</v>
      </c>
      <c r="AK61" s="176">
        <f>IF($I$14="no",AI61/(($I$7*$I$10)/100),AI61/$AI$1)</f>
        <v>-1.9649140180804552</v>
      </c>
      <c r="AL61" s="181">
        <f>(AI61/$AI$13)*100</f>
        <v>-11.67237202249836</v>
      </c>
      <c r="AM61" s="176"/>
      <c r="AN61" s="51">
        <f>AN49-AN60</f>
        <v>-441029.0287137949</v>
      </c>
      <c r="AO61" s="166">
        <f>AN61/$I$7</f>
        <v>-367.52419059482907</v>
      </c>
      <c r="AP61" s="176">
        <f>IF($I$14="no",AN61/(($I$7*$I$10)/100),AN61/$AN$1)</f>
        <v>-1.8299664418838708</v>
      </c>
      <c r="AQ61" s="181">
        <f>(AN61/$AN$13)*100</f>
        <v>-10.87862451126265</v>
      </c>
      <c r="AR61" s="176"/>
      <c r="AS61" s="32" t="s">
        <v>333</v>
      </c>
      <c r="AT61" s="51">
        <f>AT49-AT60</f>
        <v>95183.52299961355</v>
      </c>
      <c r="AU61" s="166">
        <f>AT61/$I$7</f>
        <v>79.31960249967796</v>
      </c>
      <c r="AV61" s="176">
        <f>IF($I$14="no",AT61/(($I$7*$I$10)/100),AT61/$AT$1)</f>
        <v>0.39103564835777244</v>
      </c>
      <c r="AW61" s="181">
        <f>(AT61/$AT$13)*100</f>
        <v>2.32626725507595</v>
      </c>
      <c r="AX61" s="176"/>
      <c r="AY61" s="51">
        <f>AY49-AY60</f>
        <v>123598.67990574194</v>
      </c>
      <c r="AZ61" s="166">
        <f>AY61/$I$7</f>
        <v>102.99889992145162</v>
      </c>
      <c r="BA61" s="176">
        <f>IF($I$14="no",AY61/(($I$7*$I$10)/100),AY61/$AY$1)</f>
        <v>0.502744160142116</v>
      </c>
      <c r="BB61" s="181">
        <f>(AY61/$AY$13)*100</f>
        <v>2.9929524323805987</v>
      </c>
      <c r="BC61" s="176"/>
      <c r="BD61" s="51">
        <f>BD49-BD60</f>
        <v>152222.20875597</v>
      </c>
      <c r="BE61" s="166">
        <f>BD61/$I$7</f>
        <v>126.851840629975</v>
      </c>
      <c r="BF61" s="176">
        <f>IF($I$14="no",BD61/(($I$7*$I$10)/100),BD61/$BD$1)</f>
        <v>0.6130414612870976</v>
      </c>
      <c r="BG61" s="181">
        <f>(BD61/$BD$13)*100</f>
        <v>3.6521558691047193</v>
      </c>
      <c r="BH61" s="176"/>
      <c r="BI61" s="51">
        <f>BI49-BI60</f>
        <v>181110.204699873</v>
      </c>
      <c r="BJ61" s="166">
        <f>BI61/$I$7</f>
        <v>150.9251705832275</v>
      </c>
      <c r="BK61" s="176">
        <f>IF($I$14="no",BI61/(($I$7*$I$10)/100),BI61/$BI$1)</f>
        <v>0.7221599113155005</v>
      </c>
      <c r="BL61" s="181">
        <f>(BI61/$BI$13)*100</f>
        <v>4.305233256579496</v>
      </c>
      <c r="BM61" s="176"/>
      <c r="BN61" s="51">
        <f>BN49-BN60</f>
        <v>210265.19977843296</v>
      </c>
      <c r="BO61" s="166">
        <f>BN61/$I$7</f>
        <v>175.22099981536078</v>
      </c>
      <c r="BP61" s="176">
        <f>IF($I$14="no",BN61/(($I$7*$I$10)/100),BN61/$BN$1)</f>
        <v>0.8301115967581287</v>
      </c>
      <c r="BQ61" s="181">
        <f>(BN61/$BN$13)*100</f>
        <v>4.952230449594997</v>
      </c>
      <c r="BR61" s="176"/>
      <c r="BS61" s="32" t="s">
        <v>333</v>
      </c>
      <c r="BT61" s="51">
        <f>BT49-BT60</f>
        <v>194104.58292385377</v>
      </c>
      <c r="BU61" s="166">
        <f>BT61/$I$7</f>
        <v>161.75381910321147</v>
      </c>
      <c r="BV61" s="176">
        <f>IF($I$14="no",BT61/(($I$7*$I$10)/100),BT61/$BT$1)</f>
        <v>0.7587234316368188</v>
      </c>
      <c r="BW61" s="181">
        <f>(BT61/$BT$13)*100</f>
        <v>4.52945700460672</v>
      </c>
      <c r="BX61" s="176"/>
      <c r="BY61" s="51">
        <f>BY49-BY60</f>
        <v>223801.2694017915</v>
      </c>
      <c r="BZ61" s="166">
        <f>BY61/$I$7</f>
        <v>186.50105783482624</v>
      </c>
      <c r="CA61" s="176">
        <f>IF($I$14="no",BY61/(($I$7*$I$10)/100),BY61/$BY$1)</f>
        <v>0.8661415620700244</v>
      </c>
      <c r="CB61" s="181">
        <f>(BY61/$BY$13)*100</f>
        <v>5.17424575845748</v>
      </c>
      <c r="CC61" s="176"/>
      <c r="CD61" s="51">
        <f>CD49-CD60</f>
        <v>253772.6972268978</v>
      </c>
      <c r="CE61" s="166">
        <f>CD61/$I$7</f>
        <v>211.4772476890815</v>
      </c>
      <c r="CF61" s="176">
        <f>IF($I$14="no",CD61/(($I$7*$I$10)/100),CD61/$CD$1)</f>
        <v>0.9724109825019815</v>
      </c>
      <c r="CG61" s="181">
        <f>(CD61/$CD$13)*100</f>
        <v>5.813006778740493</v>
      </c>
      <c r="CH61" s="176"/>
      <c r="CI61" s="51">
        <f>CI49-CI60</f>
        <v>284021.49660946336</v>
      </c>
      <c r="CJ61" s="166">
        <f>CI61/$I$7</f>
        <v>236.68458050788612</v>
      </c>
      <c r="CK61" s="176">
        <f>IF($I$14="no",CI61/(($I$7*$I$10)/100),CI61/$CI$1)</f>
        <v>1.0775434648536986</v>
      </c>
      <c r="CL61" s="181">
        <f>(CI61/$CI$13)*100</f>
        <v>6.445785778445822</v>
      </c>
      <c r="CM61" s="176"/>
      <c r="CN61" s="51">
        <f>CN49-CN60</f>
        <v>314550.3228898458</v>
      </c>
      <c r="CO61" s="166">
        <f>CN61/$I$7</f>
        <v>262.12526907487154</v>
      </c>
      <c r="CP61" s="176">
        <f>IF($I$14="no",CN61/(($I$7*$I$10)/100),CN61/$CN$1)</f>
        <v>1.1815506605464092</v>
      </c>
      <c r="CQ61" s="181">
        <f>(CN61/$CN$13)*100</f>
        <v>7.072628277490156</v>
      </c>
      <c r="CR61" s="176"/>
      <c r="CS61" s="32" t="s">
        <v>333</v>
      </c>
      <c r="CT61" s="51">
        <f>CT49-CT60</f>
        <v>345361.85677805543</v>
      </c>
      <c r="CU61" s="166">
        <f>CT61/$I$7</f>
        <v>287.8015473150462</v>
      </c>
      <c r="CV61" s="176">
        <f>IF($I$14="no",CT61/(($I$7*$I$10)/100),CT61/$CT$1)</f>
        <v>1.28444410173373</v>
      </c>
      <c r="CW61" s="181">
        <f>(CT61/$CT$13)*100</f>
        <v>7.693579600427351</v>
      </c>
      <c r="CX61" s="176"/>
      <c r="CY61" s="51">
        <f>CY49-CY60</f>
        <v>376458.80459561665</v>
      </c>
      <c r="CZ61" s="166">
        <f>CY61/$I$7</f>
        <v>313.71567049634723</v>
      </c>
      <c r="DA61" s="176">
        <f>IF($I$14="no",CY61/(($I$7*$I$10)/100),CY61/$CY$1)</f>
        <v>1.3862352025212201</v>
      </c>
      <c r="DB61" s="181">
        <f>(CY61/$CY$13)*100</f>
        <v>8.308684874236363</v>
      </c>
      <c r="DC61" s="176"/>
      <c r="DD61" s="51">
        <f>DD49-DD60</f>
        <v>375029.58195482485</v>
      </c>
      <c r="DE61" s="166">
        <f>DD61/$I$7</f>
        <v>312.5246516290207</v>
      </c>
      <c r="DF61" s="176">
        <f>IF($I$14="no",DD61/(($I$7*$I$10)/100),DD61/$DD$1)</f>
        <v>1.3672993786120686</v>
      </c>
      <c r="DG61" s="181">
        <f>(DD61/$DD$13)*100</f>
        <v>8.200465198834598</v>
      </c>
      <c r="DH61" s="176"/>
      <c r="DI61" s="51">
        <f>DI49-DI60</f>
        <v>372955.38790853065</v>
      </c>
      <c r="DJ61" s="166">
        <f>DI61/$I$7</f>
        <v>310.7961565904422</v>
      </c>
      <c r="DK61" s="176">
        <f>IF($I$14="no",DI61/(($I$7*$I$10)/100),DI61/$DI$1)</f>
        <v>1.3462744460810896</v>
      </c>
      <c r="DL61" s="181">
        <f>(DI61/$DI$13)*100</f>
        <v>8.079516921862163</v>
      </c>
      <c r="DM61" s="176"/>
      <c r="DN61" s="52">
        <f>DN49-DN60</f>
        <v>380133.64644965075</v>
      </c>
      <c r="DO61" s="166">
        <f>DN61/$I$7</f>
        <v>316.7780387080423</v>
      </c>
      <c r="DP61" s="176">
        <f>IF($I$14="no",DN61/(($I$7*$I$10)/100),DN61/$DN$1)</f>
        <v>1.3586001391033393</v>
      </c>
      <c r="DQ61" s="181">
        <f>(DN61/$DN$13)*100</f>
        <v>8.158640528515658</v>
      </c>
      <c r="DR61" s="192"/>
      <c r="DS61" s="109"/>
      <c r="DT61" s="58" t="s">
        <v>334</v>
      </c>
      <c r="DU61" s="14"/>
      <c r="DV61" s="14"/>
      <c r="DW61" s="14"/>
      <c r="DX61" s="14"/>
      <c r="DY61" s="14"/>
      <c r="DZ61" s="14"/>
      <c r="EA61" s="14"/>
      <c r="FH61" s="62"/>
      <c r="FI61" s="86" t="s">
        <v>127</v>
      </c>
      <c r="FJ61" s="86" t="s">
        <v>204</v>
      </c>
      <c r="FK61" s="86" t="s">
        <v>205</v>
      </c>
      <c r="FL61" s="86" t="s">
        <v>206</v>
      </c>
      <c r="FM61" s="86" t="s">
        <v>206</v>
      </c>
      <c r="FN61" s="86" t="s">
        <v>207</v>
      </c>
      <c r="FO61" s="86" t="s">
        <v>207</v>
      </c>
      <c r="FP61" s="86" t="s">
        <v>127</v>
      </c>
      <c r="FQ61" s="86" t="s">
        <v>204</v>
      </c>
      <c r="FR61" s="86" t="s">
        <v>205</v>
      </c>
      <c r="FS61" s="86" t="s">
        <v>206</v>
      </c>
      <c r="FT61" s="86" t="s">
        <v>206</v>
      </c>
      <c r="FU61" s="86" t="s">
        <v>207</v>
      </c>
      <c r="FV61" s="86" t="s">
        <v>207</v>
      </c>
      <c r="FW61" s="86" t="s">
        <v>127</v>
      </c>
      <c r="FX61" s="86" t="s">
        <v>204</v>
      </c>
      <c r="FY61" s="86" t="s">
        <v>205</v>
      </c>
      <c r="FZ61" s="86" t="s">
        <v>206</v>
      </c>
      <c r="GA61" s="86" t="s">
        <v>206</v>
      </c>
      <c r="GB61" s="86" t="s">
        <v>207</v>
      </c>
      <c r="GC61" s="86" t="s">
        <v>207</v>
      </c>
      <c r="GD61" s="86" t="s">
        <v>127</v>
      </c>
      <c r="GE61" s="86" t="s">
        <v>204</v>
      </c>
      <c r="GF61" s="86" t="s">
        <v>205</v>
      </c>
      <c r="GG61" s="86" t="s">
        <v>206</v>
      </c>
      <c r="GH61" s="86" t="s">
        <v>206</v>
      </c>
      <c r="GI61" s="86" t="s">
        <v>207</v>
      </c>
      <c r="GJ61" s="86" t="s">
        <v>207</v>
      </c>
      <c r="GK61" s="86" t="s">
        <v>127</v>
      </c>
      <c r="GL61" s="86" t="s">
        <v>204</v>
      </c>
      <c r="GM61" s="86" t="s">
        <v>205</v>
      </c>
      <c r="GN61" s="86" t="s">
        <v>206</v>
      </c>
      <c r="GO61" s="86" t="s">
        <v>206</v>
      </c>
      <c r="GP61" s="86" t="s">
        <v>207</v>
      </c>
      <c r="GQ61" s="86" t="s">
        <v>207</v>
      </c>
      <c r="GR61" s="86" t="s">
        <v>127</v>
      </c>
      <c r="GS61" s="86" t="s">
        <v>204</v>
      </c>
      <c r="GT61" s="86" t="s">
        <v>205</v>
      </c>
      <c r="GU61" s="86" t="s">
        <v>206</v>
      </c>
      <c r="GV61" s="86" t="s">
        <v>206</v>
      </c>
      <c r="GW61" s="86" t="s">
        <v>207</v>
      </c>
      <c r="GX61" s="86" t="s">
        <v>207</v>
      </c>
      <c r="GY61" s="86" t="s">
        <v>127</v>
      </c>
      <c r="GZ61" s="86" t="s">
        <v>204</v>
      </c>
      <c r="HA61" s="86" t="s">
        <v>205</v>
      </c>
      <c r="HB61" s="86" t="s">
        <v>206</v>
      </c>
      <c r="HC61" s="86" t="s">
        <v>206</v>
      </c>
      <c r="HD61" s="86" t="s">
        <v>207</v>
      </c>
      <c r="HE61" s="86" t="s">
        <v>207</v>
      </c>
      <c r="HF61" s="86" t="s">
        <v>127</v>
      </c>
      <c r="HG61" s="86" t="s">
        <v>204</v>
      </c>
      <c r="HH61" s="86" t="s">
        <v>205</v>
      </c>
      <c r="HI61" s="86" t="s">
        <v>206</v>
      </c>
      <c r="HJ61" s="86" t="s">
        <v>206</v>
      </c>
      <c r="HK61" s="86" t="s">
        <v>207</v>
      </c>
      <c r="HL61" s="86" t="s">
        <v>207</v>
      </c>
      <c r="HM61" s="86" t="s">
        <v>127</v>
      </c>
      <c r="HN61" s="86" t="s">
        <v>204</v>
      </c>
      <c r="HO61" s="86" t="s">
        <v>205</v>
      </c>
      <c r="HP61" s="86" t="s">
        <v>206</v>
      </c>
      <c r="HQ61" s="86" t="s">
        <v>206</v>
      </c>
      <c r="HR61" s="86" t="s">
        <v>207</v>
      </c>
      <c r="HS61" s="86" t="s">
        <v>207</v>
      </c>
      <c r="HT61" s="86" t="s">
        <v>19</v>
      </c>
      <c r="HU61" s="86" t="s">
        <v>19</v>
      </c>
      <c r="HV61" s="86" t="s">
        <v>207</v>
      </c>
      <c r="HW61" s="86" t="s">
        <v>207</v>
      </c>
      <c r="HX61" s="87" t="s">
        <v>335</v>
      </c>
    </row>
    <row r="62" spans="1:232" ht="17.25" thickBot="1" thickTop="1">
      <c r="A62" s="1" t="s">
        <v>336</v>
      </c>
      <c r="B62" s="418"/>
      <c r="C62" s="425"/>
      <c r="D62" s="365"/>
      <c r="E62" s="364"/>
      <c r="G62" s="394" t="s">
        <v>337</v>
      </c>
      <c r="H62" s="440"/>
      <c r="I62" s="517">
        <v>249.63</v>
      </c>
      <c r="J62" s="203"/>
      <c r="K62" s="254">
        <f>IF(($T$3+$Y$3+$AD$3+$AI$3+$AN$3+$AT$3+0.5*$AY$3)&gt;=$E$163,6.5,100)</f>
        <v>100</v>
      </c>
      <c r="L62" s="254" t="s">
        <v>338</v>
      </c>
      <c r="M62" s="10">
        <f>$EA$77</f>
        <v>705309.6261251778</v>
      </c>
      <c r="N62" s="285"/>
      <c r="O62" s="254">
        <f>($BN$2/305)/2.204622622</f>
        <v>31.39175341099495</v>
      </c>
      <c r="P62" s="90">
        <f t="shared" si="115"/>
        <v>0.0571</v>
      </c>
      <c r="Q62" s="10">
        <f>IF($I$14="yes",P62*((($BN$1*100)-($I$7*$I$10))/2.204622622),0)</f>
        <v>56196.81846284503</v>
      </c>
      <c r="R62" s="81"/>
      <c r="S62" s="108" t="s">
        <v>339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167"/>
      <c r="AP62" s="167"/>
      <c r="AQ62" s="167"/>
      <c r="AR62" s="167"/>
      <c r="AS62" s="108" t="s">
        <v>339</v>
      </c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167"/>
      <c r="BP62" s="167"/>
      <c r="BQ62" s="167"/>
      <c r="BR62" s="167"/>
      <c r="BS62" s="108" t="s">
        <v>339</v>
      </c>
      <c r="BT62" s="7"/>
      <c r="BU62" s="167"/>
      <c r="BV62" s="167"/>
      <c r="BW62" s="167"/>
      <c r="BX62" s="167"/>
      <c r="BY62" s="7"/>
      <c r="BZ62" s="167"/>
      <c r="CA62" s="167"/>
      <c r="CB62" s="167"/>
      <c r="CC62" s="167"/>
      <c r="CD62" s="7"/>
      <c r="CE62" s="167"/>
      <c r="CF62" s="167"/>
      <c r="CG62" s="167"/>
      <c r="CH62" s="167"/>
      <c r="CI62" s="7"/>
      <c r="CJ62" s="167"/>
      <c r="CK62" s="167"/>
      <c r="CL62" s="167"/>
      <c r="CM62" s="167"/>
      <c r="CN62" s="7"/>
      <c r="CO62" s="167"/>
      <c r="CP62" s="167"/>
      <c r="CQ62" s="167"/>
      <c r="CR62" s="167"/>
      <c r="CS62" s="108" t="s">
        <v>339</v>
      </c>
      <c r="CT62" s="7"/>
      <c r="CU62" s="167"/>
      <c r="CV62" s="167"/>
      <c r="CW62" s="167"/>
      <c r="CX62" s="167"/>
      <c r="CY62" s="7"/>
      <c r="CZ62" s="167"/>
      <c r="DA62" s="167"/>
      <c r="DB62" s="167"/>
      <c r="DC62" s="167"/>
      <c r="DD62" s="7"/>
      <c r="DE62" s="167"/>
      <c r="DF62" s="167"/>
      <c r="DG62" s="167"/>
      <c r="DH62" s="167"/>
      <c r="DI62" s="7"/>
      <c r="DJ62" s="167"/>
      <c r="DK62" s="167"/>
      <c r="DL62" s="167"/>
      <c r="DM62" s="167"/>
      <c r="DN62" s="97"/>
      <c r="DO62" s="167"/>
      <c r="DP62" s="167"/>
      <c r="DQ62" s="167"/>
      <c r="DR62" s="193"/>
      <c r="DS62" s="109"/>
      <c r="DT62" s="58" t="s">
        <v>340</v>
      </c>
      <c r="DX62" s="14"/>
      <c r="DY62" s="14"/>
      <c r="DZ62" s="14"/>
      <c r="EA62" s="14"/>
      <c r="FH62" s="65"/>
      <c r="FI62" s="86" t="s">
        <v>216</v>
      </c>
      <c r="FJ62" s="86" t="s">
        <v>27</v>
      </c>
      <c r="FK62" s="86" t="s">
        <v>27</v>
      </c>
      <c r="FL62" s="86" t="s">
        <v>217</v>
      </c>
      <c r="FM62" s="86" t="s">
        <v>217</v>
      </c>
      <c r="FN62" s="86" t="s">
        <v>218</v>
      </c>
      <c r="FO62" s="86" t="s">
        <v>219</v>
      </c>
      <c r="FP62" s="86" t="s">
        <v>216</v>
      </c>
      <c r="FQ62" s="86" t="s">
        <v>27</v>
      </c>
      <c r="FR62" s="86" t="s">
        <v>27</v>
      </c>
      <c r="FS62" s="86" t="s">
        <v>217</v>
      </c>
      <c r="FT62" s="86" t="s">
        <v>217</v>
      </c>
      <c r="FU62" s="86" t="s">
        <v>218</v>
      </c>
      <c r="FV62" s="86" t="s">
        <v>219</v>
      </c>
      <c r="FW62" s="86" t="s">
        <v>216</v>
      </c>
      <c r="FX62" s="86" t="s">
        <v>27</v>
      </c>
      <c r="FY62" s="86" t="s">
        <v>27</v>
      </c>
      <c r="FZ62" s="86" t="s">
        <v>217</v>
      </c>
      <c r="GA62" s="86" t="s">
        <v>217</v>
      </c>
      <c r="GB62" s="86" t="s">
        <v>218</v>
      </c>
      <c r="GC62" s="86" t="s">
        <v>219</v>
      </c>
      <c r="GD62" s="86" t="s">
        <v>216</v>
      </c>
      <c r="GE62" s="86" t="s">
        <v>27</v>
      </c>
      <c r="GF62" s="86" t="s">
        <v>27</v>
      </c>
      <c r="GG62" s="86" t="s">
        <v>217</v>
      </c>
      <c r="GH62" s="86" t="s">
        <v>217</v>
      </c>
      <c r="GI62" s="86" t="s">
        <v>218</v>
      </c>
      <c r="GJ62" s="86" t="s">
        <v>219</v>
      </c>
      <c r="GK62" s="86" t="s">
        <v>216</v>
      </c>
      <c r="GL62" s="86" t="s">
        <v>27</v>
      </c>
      <c r="GM62" s="86" t="s">
        <v>27</v>
      </c>
      <c r="GN62" s="86" t="s">
        <v>217</v>
      </c>
      <c r="GO62" s="86" t="s">
        <v>217</v>
      </c>
      <c r="GP62" s="86" t="s">
        <v>218</v>
      </c>
      <c r="GQ62" s="86" t="s">
        <v>219</v>
      </c>
      <c r="GR62" s="86" t="s">
        <v>216</v>
      </c>
      <c r="GS62" s="86" t="s">
        <v>27</v>
      </c>
      <c r="GT62" s="86" t="s">
        <v>27</v>
      </c>
      <c r="GU62" s="86" t="s">
        <v>217</v>
      </c>
      <c r="GV62" s="86" t="s">
        <v>217</v>
      </c>
      <c r="GW62" s="86" t="s">
        <v>218</v>
      </c>
      <c r="GX62" s="86" t="s">
        <v>219</v>
      </c>
      <c r="GY62" s="86" t="s">
        <v>216</v>
      </c>
      <c r="GZ62" s="86" t="s">
        <v>27</v>
      </c>
      <c r="HA62" s="86" t="s">
        <v>27</v>
      </c>
      <c r="HB62" s="86" t="s">
        <v>217</v>
      </c>
      <c r="HC62" s="86" t="s">
        <v>217</v>
      </c>
      <c r="HD62" s="86" t="s">
        <v>218</v>
      </c>
      <c r="HE62" s="86" t="s">
        <v>219</v>
      </c>
      <c r="HF62" s="86" t="s">
        <v>216</v>
      </c>
      <c r="HG62" s="86" t="s">
        <v>27</v>
      </c>
      <c r="HH62" s="86" t="s">
        <v>27</v>
      </c>
      <c r="HI62" s="86" t="s">
        <v>217</v>
      </c>
      <c r="HJ62" s="86" t="s">
        <v>217</v>
      </c>
      <c r="HK62" s="86" t="s">
        <v>218</v>
      </c>
      <c r="HL62" s="86" t="s">
        <v>219</v>
      </c>
      <c r="HM62" s="86" t="s">
        <v>216</v>
      </c>
      <c r="HN62" s="86" t="s">
        <v>27</v>
      </c>
      <c r="HO62" s="86" t="s">
        <v>27</v>
      </c>
      <c r="HP62" s="86" t="s">
        <v>217</v>
      </c>
      <c r="HQ62" s="86" t="s">
        <v>217</v>
      </c>
      <c r="HR62" s="86" t="s">
        <v>218</v>
      </c>
      <c r="HS62" s="86" t="s">
        <v>219</v>
      </c>
      <c r="HT62" s="86" t="s">
        <v>27</v>
      </c>
      <c r="HU62" s="86" t="s">
        <v>206</v>
      </c>
      <c r="HV62" s="86" t="s">
        <v>221</v>
      </c>
      <c r="HW62" s="86" t="s">
        <v>222</v>
      </c>
      <c r="HX62" s="87" t="s">
        <v>341</v>
      </c>
    </row>
    <row r="63" spans="1:232" ht="17.25" thickBot="1" thickTop="1">
      <c r="A63" s="6"/>
      <c r="B63" s="419"/>
      <c r="C63" s="423"/>
      <c r="D63" s="373"/>
      <c r="E63" s="366" t="s">
        <v>19</v>
      </c>
      <c r="G63" s="394" t="s">
        <v>342</v>
      </c>
      <c r="H63" s="440"/>
      <c r="I63" s="517">
        <v>35.76</v>
      </c>
      <c r="J63" s="203"/>
      <c r="K63" s="254">
        <f>IF(($T$3+$Y$3+$AD$3+$AI$3+$AN$3+$AT$3+$AY$3)&gt;=$E$163,7,100)</f>
        <v>100</v>
      </c>
      <c r="L63" s="254" t="s">
        <v>343</v>
      </c>
      <c r="M63" s="10">
        <f>$EA$78</f>
        <v>706789.8902915255</v>
      </c>
      <c r="N63" s="285"/>
      <c r="O63" s="254">
        <f>($BT$2/305)/2.204622622</f>
        <v>31.705670945104902</v>
      </c>
      <c r="P63" s="90">
        <f t="shared" si="115"/>
        <v>0.0572</v>
      </c>
      <c r="Q63" s="10">
        <f>IF($I$14="yes",P63*((($BT$1*100)-($I$7*$I$10))/2.204622622),0)</f>
        <v>62867.16306893812</v>
      </c>
      <c r="R63" s="81"/>
      <c r="S63" s="28" t="s">
        <v>93</v>
      </c>
      <c r="T63" s="107">
        <f>IF((T47+T60)/((T13-T36)/($I$7))&lt;=0,"NO B.E. PT.!",(T47+T60)/((T13-T36)/($I$7)))</f>
        <v>2742.2148417731023</v>
      </c>
      <c r="U63" s="107"/>
      <c r="V63" s="107"/>
      <c r="W63" s="107"/>
      <c r="X63" s="107"/>
      <c r="Y63" s="107">
        <f>IF((Y47+Y60)/((Y13-Y36)/($I$7))&lt;=0,"NO B.E. PT.!",(Y47+Y60)/((Y13-Y36)/($I$7)))</f>
        <v>2579.268227331318</v>
      </c>
      <c r="Z63" s="107"/>
      <c r="AA63" s="107"/>
      <c r="AB63" s="107"/>
      <c r="AC63" s="107"/>
      <c r="AD63" s="107">
        <f>IF((AD47+AD60)/((AD13-AD36)/($I$7))&lt;=0,"NO B.E. PT.!",(AD47+AD60)/((AD13-AD36)/($I$7)))</f>
        <v>2433.342127772659</v>
      </c>
      <c r="AE63" s="107"/>
      <c r="AF63" s="107"/>
      <c r="AG63" s="107"/>
      <c r="AH63" s="107"/>
      <c r="AI63" s="107">
        <f>IF((AI47+AI60)/((AI13-AI36)/($I$7))&lt;=0,"NO B.E. PT.!",(AI47+AI60)/((AI13-AI36)/($I$7)))</f>
        <v>2301.9069662374095</v>
      </c>
      <c r="AJ63" s="107"/>
      <c r="AK63" s="107"/>
      <c r="AL63" s="107"/>
      <c r="AM63" s="107"/>
      <c r="AN63" s="107">
        <f>IF((AN47+AN60)/((AN13-AN36)/($I$7))&lt;=0,"NO B.E. PT.!",(AN47+AN60)/((AN13-AN36)/($I$7)))</f>
        <v>2182.9107688330114</v>
      </c>
      <c r="AO63" s="34"/>
      <c r="AP63" s="34"/>
      <c r="AQ63" s="34"/>
      <c r="AR63" s="34"/>
      <c r="AS63" s="28" t="s">
        <v>93</v>
      </c>
      <c r="AT63" s="107">
        <f>IF((AT47+AT60)/((AT13-AT36)/($I$7))&lt;=0,"NO B.E. PT.!",(AT47+AT60)/((AT13-AT36)/($I$7)))</f>
        <v>998.3853641277872</v>
      </c>
      <c r="AU63" s="107"/>
      <c r="AV63" s="107"/>
      <c r="AW63" s="107"/>
      <c r="AX63" s="107"/>
      <c r="AY63" s="107">
        <f>IF((AY47+AY60)/((AY13-AY36)/($I$7))&lt;=0,"NO B.E. PT.!",(AY47+AY60)/((AY13-AY36)/($I$7)))</f>
        <v>950.7013086258721</v>
      </c>
      <c r="AZ63" s="107"/>
      <c r="BA63" s="107"/>
      <c r="BB63" s="107"/>
      <c r="BC63" s="107"/>
      <c r="BD63" s="107">
        <f>IF((BD47+BD60)/((BD13-BD36)/($I$7))&lt;=0,"NO B.E. PT.!",(BD47+BD60)/((BD13-BD36)/($I$7)))</f>
        <v>907.061309065391</v>
      </c>
      <c r="BE63" s="107"/>
      <c r="BF63" s="107"/>
      <c r="BG63" s="107"/>
      <c r="BH63" s="107"/>
      <c r="BI63" s="107">
        <f>IF((BI47+BI60)/((BI13-BI36)/($I$7))&lt;=0,"NO B.E. PT.!",(BI47+BI60)/((BI13-BI36)/($I$7)))</f>
        <v>866.9003510233521</v>
      </c>
      <c r="BJ63" s="107"/>
      <c r="BK63" s="107"/>
      <c r="BL63" s="107"/>
      <c r="BM63" s="107"/>
      <c r="BN63" s="107">
        <f>IF((BN47+BN60)/((BN13-BN36)/($I$7))&lt;=0,"NO B.E. PT.!",(BN47+BN60)/((BN13-BN36)/($I$7)))</f>
        <v>829.8197514589604</v>
      </c>
      <c r="BO63" s="34"/>
      <c r="BP63" s="34"/>
      <c r="BQ63" s="34"/>
      <c r="BR63" s="34"/>
      <c r="BS63" s="28" t="s">
        <v>93</v>
      </c>
      <c r="BT63" s="107">
        <f>IF((BT47+BT60)/((BT13-BT36)/($I$7))&lt;=0,"NO B.E. PT.!",(BT47+BT60)/((BT13-BT36)/($I$7)))</f>
        <v>872.4128495909314</v>
      </c>
      <c r="BU63" s="34"/>
      <c r="BV63" s="34"/>
      <c r="BW63" s="34"/>
      <c r="BX63" s="34"/>
      <c r="BY63" s="107">
        <f>IF((BY47+BY60)/((BY13-BY36)/($I$7))&lt;=0,"NO B.E. PT.!",(BY47+BY60)/((BY13-BY36)/($I$7)))</f>
        <v>837.436869414644</v>
      </c>
      <c r="BZ63" s="34"/>
      <c r="CA63" s="34"/>
      <c r="CB63" s="34"/>
      <c r="CC63" s="34"/>
      <c r="CD63" s="107">
        <f>IF((CD47+CD60)/((CD13-CD36)/($I$7))&lt;=0,"NO B.E. PT.!",(CD47+CD60)/((CD13-CD36)/($I$7)))</f>
        <v>804.8702157057181</v>
      </c>
      <c r="CE63" s="34"/>
      <c r="CF63" s="34"/>
      <c r="CG63" s="34"/>
      <c r="CH63" s="34"/>
      <c r="CI63" s="107">
        <f>IF((CI47+CI60)/((CI13-CI36)/($I$7))&lt;=0,"NO B.E. PT.!",(CI47+CI60)/((CI13-CI36)/($I$7)))</f>
        <v>774.4733876739949</v>
      </c>
      <c r="CJ63" s="34"/>
      <c r="CK63" s="34"/>
      <c r="CL63" s="34"/>
      <c r="CM63" s="34"/>
      <c r="CN63" s="107">
        <f>IF((CN47+CN60)/((CN13-CN36)/($I$7))&lt;=0,"NO B.E. PT.!",(CN47+CN60)/((CN13-CN36)/($I$7)))</f>
        <v>746.0376107537535</v>
      </c>
      <c r="CO63" s="34"/>
      <c r="CP63" s="34"/>
      <c r="CQ63" s="34"/>
      <c r="CR63" s="34"/>
      <c r="CS63" s="28" t="s">
        <v>93</v>
      </c>
      <c r="CT63" s="107">
        <f>IF((CT47+CT60)/((CT13-CT36)/($I$7))&lt;=0,"NO B.E. PT.!",(CT47+CT60)/((CT13-CT36)/($I$7)))</f>
        <v>719.3800622488963</v>
      </c>
      <c r="CU63" s="34"/>
      <c r="CV63" s="34"/>
      <c r="CW63" s="34"/>
      <c r="CX63" s="34"/>
      <c r="CY63" s="107">
        <f>IF((CY47+CY60)/((CY13-CY36)/($I$7))&lt;=0,"NO B.E. PT.!",(CY47+CY60)/((CY13-CY36)/($I$7)))</f>
        <v>694.3399603749539</v>
      </c>
      <c r="CZ63" s="34"/>
      <c r="DA63" s="34"/>
      <c r="DB63" s="34"/>
      <c r="DC63" s="34"/>
      <c r="DD63" s="107">
        <f>IF((DD47+DD60)/((DD13-DD36)/($I$7))&lt;=0,"NO B.E. PT.!",(DD47+DD60)/((DD13-DD36)/($I$7)))</f>
        <v>713.3557133746524</v>
      </c>
      <c r="DE63" s="34"/>
      <c r="DF63" s="34"/>
      <c r="DG63" s="34"/>
      <c r="DH63" s="34"/>
      <c r="DI63" s="107">
        <f>IF((DI47+DI60)/((DI13-DI36)/($I$7))&lt;=0,"NO B.E. PT.!",(DI47+DI60)/((DI13-DI36)/($I$7)))</f>
        <v>732.0749304278731</v>
      </c>
      <c r="DJ63" s="34"/>
      <c r="DK63" s="34"/>
      <c r="DL63" s="34"/>
      <c r="DM63" s="34"/>
      <c r="DN63" s="79">
        <f>IF((DN47+DN60)/((DN13-DN36)/($I$7))&lt;=0,"NO B.E. PT.!",(DN47+DN60)/((DN13-DN36)/($I$7)))</f>
        <v>738.4947887225167</v>
      </c>
      <c r="DO63" s="34"/>
      <c r="DP63" s="34"/>
      <c r="DQ63" s="34"/>
      <c r="DR63" s="78"/>
      <c r="DS63" s="109"/>
      <c r="DT63" s="59"/>
      <c r="DU63" s="60"/>
      <c r="DV63" s="60" t="s">
        <v>19</v>
      </c>
      <c r="DW63" s="60"/>
      <c r="DX63" s="60"/>
      <c r="DY63" s="60"/>
      <c r="DZ63" s="60"/>
      <c r="EA63" s="61"/>
      <c r="FH63" s="66" t="s">
        <v>69</v>
      </c>
      <c r="FI63" s="88" t="s">
        <v>230</v>
      </c>
      <c r="FJ63" s="88" t="s">
        <v>220</v>
      </c>
      <c r="FK63" s="88" t="s">
        <v>220</v>
      </c>
      <c r="FL63" s="88" t="s">
        <v>232</v>
      </c>
      <c r="FM63" s="88" t="s">
        <v>233</v>
      </c>
      <c r="FN63" s="88" t="s">
        <v>233</v>
      </c>
      <c r="FO63" s="88" t="s">
        <v>232</v>
      </c>
      <c r="FP63" s="88" t="s">
        <v>230</v>
      </c>
      <c r="FQ63" s="88" t="s">
        <v>220</v>
      </c>
      <c r="FR63" s="88" t="s">
        <v>220</v>
      </c>
      <c r="FS63" s="88" t="s">
        <v>232</v>
      </c>
      <c r="FT63" s="88" t="s">
        <v>233</v>
      </c>
      <c r="FU63" s="88" t="s">
        <v>233</v>
      </c>
      <c r="FV63" s="88" t="s">
        <v>232</v>
      </c>
      <c r="FW63" s="88" t="s">
        <v>230</v>
      </c>
      <c r="FX63" s="88" t="s">
        <v>220</v>
      </c>
      <c r="FY63" s="88" t="s">
        <v>220</v>
      </c>
      <c r="FZ63" s="88" t="s">
        <v>232</v>
      </c>
      <c r="GA63" s="88" t="s">
        <v>233</v>
      </c>
      <c r="GB63" s="88" t="s">
        <v>233</v>
      </c>
      <c r="GC63" s="88" t="s">
        <v>232</v>
      </c>
      <c r="GD63" s="88" t="s">
        <v>230</v>
      </c>
      <c r="GE63" s="88" t="s">
        <v>220</v>
      </c>
      <c r="GF63" s="88" t="s">
        <v>220</v>
      </c>
      <c r="GG63" s="88" t="s">
        <v>232</v>
      </c>
      <c r="GH63" s="88" t="s">
        <v>233</v>
      </c>
      <c r="GI63" s="88" t="s">
        <v>233</v>
      </c>
      <c r="GJ63" s="88" t="s">
        <v>232</v>
      </c>
      <c r="GK63" s="88" t="s">
        <v>230</v>
      </c>
      <c r="GL63" s="88" t="s">
        <v>220</v>
      </c>
      <c r="GM63" s="88" t="s">
        <v>220</v>
      </c>
      <c r="GN63" s="88" t="s">
        <v>232</v>
      </c>
      <c r="GO63" s="88" t="s">
        <v>233</v>
      </c>
      <c r="GP63" s="88" t="s">
        <v>233</v>
      </c>
      <c r="GQ63" s="88" t="s">
        <v>232</v>
      </c>
      <c r="GR63" s="88" t="s">
        <v>230</v>
      </c>
      <c r="GS63" s="88" t="s">
        <v>220</v>
      </c>
      <c r="GT63" s="88" t="s">
        <v>220</v>
      </c>
      <c r="GU63" s="88" t="s">
        <v>232</v>
      </c>
      <c r="GV63" s="88" t="s">
        <v>233</v>
      </c>
      <c r="GW63" s="88" t="s">
        <v>233</v>
      </c>
      <c r="GX63" s="88" t="s">
        <v>232</v>
      </c>
      <c r="GY63" s="88" t="s">
        <v>230</v>
      </c>
      <c r="GZ63" s="88" t="s">
        <v>220</v>
      </c>
      <c r="HA63" s="88" t="s">
        <v>220</v>
      </c>
      <c r="HB63" s="88" t="s">
        <v>232</v>
      </c>
      <c r="HC63" s="88" t="s">
        <v>233</v>
      </c>
      <c r="HD63" s="88" t="s">
        <v>233</v>
      </c>
      <c r="HE63" s="88" t="s">
        <v>232</v>
      </c>
      <c r="HF63" s="88" t="s">
        <v>230</v>
      </c>
      <c r="HG63" s="88" t="s">
        <v>220</v>
      </c>
      <c r="HH63" s="88" t="s">
        <v>220</v>
      </c>
      <c r="HI63" s="88" t="s">
        <v>232</v>
      </c>
      <c r="HJ63" s="88" t="s">
        <v>233</v>
      </c>
      <c r="HK63" s="88" t="s">
        <v>233</v>
      </c>
      <c r="HL63" s="88" t="s">
        <v>232</v>
      </c>
      <c r="HM63" s="88" t="s">
        <v>230</v>
      </c>
      <c r="HN63" s="88" t="s">
        <v>220</v>
      </c>
      <c r="HO63" s="88" t="s">
        <v>220</v>
      </c>
      <c r="HP63" s="88" t="s">
        <v>232</v>
      </c>
      <c r="HQ63" s="88" t="s">
        <v>233</v>
      </c>
      <c r="HR63" s="88" t="s">
        <v>233</v>
      </c>
      <c r="HS63" s="88" t="s">
        <v>232</v>
      </c>
      <c r="HT63" s="88" t="s">
        <v>220</v>
      </c>
      <c r="HU63" s="88" t="s">
        <v>27</v>
      </c>
      <c r="HV63" s="88" t="s">
        <v>220</v>
      </c>
      <c r="HW63" s="88" t="s">
        <v>220</v>
      </c>
      <c r="HX63" s="291" t="s">
        <v>344</v>
      </c>
    </row>
    <row r="64" spans="1:232" ht="16.5" thickTop="1">
      <c r="A64" s="9"/>
      <c r="B64" s="420"/>
      <c r="C64" s="424"/>
      <c r="D64" s="333" t="s">
        <v>51</v>
      </c>
      <c r="E64" s="132" t="s">
        <v>52</v>
      </c>
      <c r="G64" s="396" t="s">
        <v>345</v>
      </c>
      <c r="H64" s="440"/>
      <c r="I64" s="505">
        <v>24</v>
      </c>
      <c r="J64" s="203"/>
      <c r="K64" s="254">
        <f>IF(($T$3+$Y$3+$AD$3+$AI$3+$AN$3+$AT$3+$AY$3+0.5*$BD$3)&gt;=$E$163,7.5,100)</f>
        <v>100</v>
      </c>
      <c r="L64" s="254" t="s">
        <v>346</v>
      </c>
      <c r="M64" s="10">
        <f>$EA$79</f>
        <v>708451.483747005</v>
      </c>
      <c r="N64" s="285"/>
      <c r="O64" s="254">
        <f>($BY$2/305)/2.204622622</f>
        <v>32.02272765455594</v>
      </c>
      <c r="P64" s="90">
        <f t="shared" si="115"/>
        <v>0.0573</v>
      </c>
      <c r="Q64" s="10">
        <f>IF($I$14="yes",P64*((($BY$1*100)-($I$7*$I$10))/2.204622622),0)</f>
        <v>69626.32059594648</v>
      </c>
      <c r="R64" s="81"/>
      <c r="S64" s="28" t="s">
        <v>347</v>
      </c>
      <c r="T64" s="107">
        <f>((T48+T60-T10-T11-T12)/($I$11/100))/$I$7</f>
        <v>22242.56877946091</v>
      </c>
      <c r="U64" s="107"/>
      <c r="V64" s="107"/>
      <c r="W64" s="107"/>
      <c r="X64" s="107"/>
      <c r="Y64" s="107">
        <f>((Y48+Y60-Y10-Y11-Y12)/($I$11/100))/$I$7</f>
        <v>22290.920982445434</v>
      </c>
      <c r="Z64" s="107"/>
      <c r="AA64" s="107"/>
      <c r="AB64" s="107"/>
      <c r="AC64" s="107"/>
      <c r="AD64" s="107">
        <f>((AD48+AD60-AD10-AD11-AD12)/($I$11/100))/$I$7</f>
        <v>22339.86950367011</v>
      </c>
      <c r="AE64" s="107"/>
      <c r="AF64" s="107"/>
      <c r="AG64" s="107"/>
      <c r="AH64" s="107"/>
      <c r="AI64" s="107">
        <f>((AI48+AI60-AI10-AI11-AI12)/($I$11/100))/$I$7</f>
        <v>22389.42087310427</v>
      </c>
      <c r="AJ64" s="107"/>
      <c r="AK64" s="107"/>
      <c r="AL64" s="107"/>
      <c r="AM64" s="107"/>
      <c r="AN64" s="107">
        <f>((AN48+AN60-AN10-AN11-AN12)/($I$11/100))/$I$7</f>
        <v>22439.581691684805</v>
      </c>
      <c r="AO64" s="34"/>
      <c r="AP64" s="34"/>
      <c r="AQ64" s="34"/>
      <c r="AR64" s="34"/>
      <c r="AS64" s="28" t="s">
        <v>347</v>
      </c>
      <c r="AT64" s="107">
        <f>((AT48+AT60-AT10-AT11-AT12)/($I$11/100))/$I$7</f>
        <v>19776.034976547446</v>
      </c>
      <c r="AU64" s="107"/>
      <c r="AV64" s="107"/>
      <c r="AW64" s="107"/>
      <c r="AX64" s="107"/>
      <c r="AY64" s="107">
        <f>((AY48+AY60-AY10-AY11-AY12)/($I$11/100))/$I$7</f>
        <v>19827.089548128457</v>
      </c>
      <c r="AZ64" s="107"/>
      <c r="BA64" s="107"/>
      <c r="BB64" s="107"/>
      <c r="BC64" s="107"/>
      <c r="BD64" s="107">
        <f>((BD48+BD60-BD10-BD11-BD12)/($I$11/100))/$I$7</f>
        <v>19879.05947111417</v>
      </c>
      <c r="BE64" s="107"/>
      <c r="BF64" s="107"/>
      <c r="BG64" s="107"/>
      <c r="BH64" s="107"/>
      <c r="BI64" s="107">
        <f>((BI48+BI60-BI10-BI11-BI12)/($I$11/100))/$I$7</f>
        <v>19931.66537642177</v>
      </c>
      <c r="BJ64" s="107"/>
      <c r="BK64" s="107"/>
      <c r="BL64" s="107"/>
      <c r="BM64" s="107"/>
      <c r="BN64" s="107">
        <f>((BN48+BN60-BN10-BN11-BN12)/($I$11/100))/$I$7</f>
        <v>19984.914225530207</v>
      </c>
      <c r="BO64" s="34"/>
      <c r="BP64" s="34"/>
      <c r="BQ64" s="34"/>
      <c r="BR64" s="34"/>
      <c r="BS64" s="28" t="s">
        <v>347</v>
      </c>
      <c r="BT64" s="107">
        <f>((BT48+BT60-BT10-BT11-BT12)/($I$11/100))/$I$7</f>
        <v>20282.323564646424</v>
      </c>
      <c r="BU64" s="34"/>
      <c r="BV64" s="34"/>
      <c r="BW64" s="34"/>
      <c r="BX64" s="34"/>
      <c r="BY64" s="107">
        <f>((BY48+BY60-BY10-BY11-BY12)/($I$11/100))/$I$7</f>
        <v>20336.879489135306</v>
      </c>
      <c r="BZ64" s="34"/>
      <c r="CA64" s="34"/>
      <c r="CB64" s="34"/>
      <c r="CC64" s="34"/>
      <c r="CD64" s="107">
        <f>((CD48+CD60-CD10-CD11-CD12)/($I$11/100))/$I$7</f>
        <v>20392.099698924696</v>
      </c>
      <c r="CE64" s="34"/>
      <c r="CF64" s="34"/>
      <c r="CG64" s="34"/>
      <c r="CH64" s="34"/>
      <c r="CI64" s="107">
        <f>((CI48+CI60-CI10-CI11-CI12)/($I$11/100))/$I$7</f>
        <v>20447.991462952956</v>
      </c>
      <c r="CJ64" s="34"/>
      <c r="CK64" s="34"/>
      <c r="CL64" s="34"/>
      <c r="CM64" s="34"/>
      <c r="CN64" s="107">
        <f>((CN48+CN60-CN10-CN11-CN12)/($I$11/100))/$I$7</f>
        <v>20504.562129108734</v>
      </c>
      <c r="CO64" s="34"/>
      <c r="CP64" s="34"/>
      <c r="CQ64" s="34"/>
      <c r="CR64" s="34"/>
      <c r="CS64" s="28" t="s">
        <v>347</v>
      </c>
      <c r="CT64" s="107">
        <f>((CT48+CT60-CT10-CT11-CT12)/($I$11/100))/$I$7</f>
        <v>20561.81912508298</v>
      </c>
      <c r="CU64" s="34"/>
      <c r="CV64" s="34"/>
      <c r="CW64" s="34"/>
      <c r="CX64" s="34"/>
      <c r="CY64" s="107">
        <f>((CY48+CY60-CY10-CY11-CY12)/($I$11/100))/$I$7</f>
        <v>20619.769959230285</v>
      </c>
      <c r="CZ64" s="34"/>
      <c r="DA64" s="34"/>
      <c r="DB64" s="34"/>
      <c r="DC64" s="34"/>
      <c r="DD64" s="107">
        <f>((DD48+DD60-DD10-DD11-DD12)/($I$11/100))/$I$7</f>
        <v>20853.71237402958</v>
      </c>
      <c r="DE64" s="34"/>
      <c r="DF64" s="34"/>
      <c r="DG64" s="34"/>
      <c r="DH64" s="34"/>
      <c r="DI64" s="107">
        <f>((DI48+DI60-DI10-DI11-DI12)/($I$11/100))/$I$7</f>
        <v>21093.363225685698</v>
      </c>
      <c r="DJ64" s="34"/>
      <c r="DK64" s="34"/>
      <c r="DL64" s="34"/>
      <c r="DM64" s="34"/>
      <c r="DN64" s="79">
        <f>((DN48+DN60-DN10-DN11-DN12)/($I$11/100))/$I$7</f>
        <v>21285.874290303484</v>
      </c>
      <c r="DO64" s="34"/>
      <c r="DP64" s="34"/>
      <c r="DQ64" s="34"/>
      <c r="DR64" s="78"/>
      <c r="DS64" s="109"/>
      <c r="DT64" s="62"/>
      <c r="DU64" s="63"/>
      <c r="DV64" s="63" t="s">
        <v>213</v>
      </c>
      <c r="DW64" s="63" t="s">
        <v>214</v>
      </c>
      <c r="DX64" s="63"/>
      <c r="DY64" s="63" t="s">
        <v>215</v>
      </c>
      <c r="DZ64" s="63"/>
      <c r="EA64" s="64"/>
      <c r="FH64" s="59">
        <v>1</v>
      </c>
      <c r="FI64" s="299">
        <v>0</v>
      </c>
      <c r="FJ64" s="10">
        <v>0</v>
      </c>
      <c r="FK64" s="10">
        <v>0</v>
      </c>
      <c r="FL64" s="10">
        <v>0</v>
      </c>
      <c r="FM64" s="10">
        <v>0</v>
      </c>
      <c r="FN64" s="10">
        <v>0</v>
      </c>
      <c r="FO64" s="10">
        <v>0</v>
      </c>
      <c r="FP64" s="299">
        <v>0</v>
      </c>
      <c r="FQ64" s="10">
        <v>0</v>
      </c>
      <c r="FR64" s="10">
        <v>0</v>
      </c>
      <c r="FS64" s="10">
        <v>0</v>
      </c>
      <c r="FT64" s="10">
        <v>0</v>
      </c>
      <c r="FU64" s="10">
        <v>0</v>
      </c>
      <c r="FV64" s="10">
        <v>0</v>
      </c>
      <c r="FW64" s="299">
        <v>0</v>
      </c>
      <c r="FX64" s="10">
        <v>0</v>
      </c>
      <c r="FY64" s="10">
        <v>0</v>
      </c>
      <c r="FZ64" s="10">
        <v>0</v>
      </c>
      <c r="GA64" s="10">
        <v>0</v>
      </c>
      <c r="GB64" s="10">
        <v>0</v>
      </c>
      <c r="GC64" s="10">
        <v>0</v>
      </c>
      <c r="GD64" s="299">
        <v>0</v>
      </c>
      <c r="GE64" s="10">
        <v>0</v>
      </c>
      <c r="GF64" s="10">
        <v>0</v>
      </c>
      <c r="GG64" s="10">
        <v>0</v>
      </c>
      <c r="GH64" s="10">
        <v>0</v>
      </c>
      <c r="GI64" s="10">
        <v>0</v>
      </c>
      <c r="GJ64" s="10">
        <v>0</v>
      </c>
      <c r="GK64" s="299">
        <v>0</v>
      </c>
      <c r="GL64" s="10">
        <v>0</v>
      </c>
      <c r="GM64" s="10">
        <v>0</v>
      </c>
      <c r="GN64" s="10">
        <v>0</v>
      </c>
      <c r="GO64" s="10">
        <v>0</v>
      </c>
      <c r="GP64" s="10">
        <v>0</v>
      </c>
      <c r="GQ64" s="10">
        <v>0</v>
      </c>
      <c r="GR64" s="299">
        <v>0</v>
      </c>
      <c r="GS64" s="10">
        <v>0</v>
      </c>
      <c r="GT64" s="10">
        <v>0</v>
      </c>
      <c r="GU64" s="10">
        <v>0</v>
      </c>
      <c r="GV64" s="10">
        <v>0</v>
      </c>
      <c r="GW64" s="10">
        <v>0</v>
      </c>
      <c r="GX64" s="10">
        <v>0</v>
      </c>
      <c r="GY64" s="299">
        <v>0</v>
      </c>
      <c r="GZ64" s="10">
        <v>0</v>
      </c>
      <c r="HA64" s="10">
        <v>0</v>
      </c>
      <c r="HB64" s="10">
        <v>0</v>
      </c>
      <c r="HC64" s="10">
        <v>0</v>
      </c>
      <c r="HD64" s="10">
        <v>0</v>
      </c>
      <c r="HE64" s="10">
        <v>0</v>
      </c>
      <c r="HF64" s="299">
        <v>0</v>
      </c>
      <c r="HG64" s="10">
        <v>0</v>
      </c>
      <c r="HH64" s="10">
        <v>0</v>
      </c>
      <c r="HI64" s="10">
        <v>0</v>
      </c>
      <c r="HJ64" s="10">
        <v>0</v>
      </c>
      <c r="HK64" s="10">
        <v>0</v>
      </c>
      <c r="HL64" s="10">
        <v>0</v>
      </c>
      <c r="HM64" s="299">
        <v>0</v>
      </c>
      <c r="HN64" s="10">
        <v>0</v>
      </c>
      <c r="HO64" s="10">
        <v>0</v>
      </c>
      <c r="HP64" s="10">
        <v>0</v>
      </c>
      <c r="HQ64" s="10">
        <v>0</v>
      </c>
      <c r="HR64" s="10">
        <v>0</v>
      </c>
      <c r="HS64" s="10">
        <v>0</v>
      </c>
      <c r="HT64" s="10">
        <f aca="true" t="shared" si="119" ref="HT64:HT83">IL38+FJ64+FK64+FQ64+FR64+FX64+FY64+GE64+GF64+GL64+GM64+GS64+GT64+GZ64+HA64+HG64+HH64+HN64+HO64</f>
        <v>876000</v>
      </c>
      <c r="HU64" s="10">
        <f aca="true" t="shared" si="120" ref="HU64:HU83">IM38+FL64+FM64+FS64+FT64+FZ64+GA64+GG64+GH64+GN64+GO64+GU64+GV64+HB64+HC64+HI64+HJ64+HP64+HQ64</f>
        <v>297840</v>
      </c>
      <c r="HV64" s="10">
        <f aca="true" t="shared" si="121" ref="HV64:HV83">IN38+FN64+FU64+GB64+GI64+GP64+GW64+HD64+HK64+HR64</f>
        <v>6480</v>
      </c>
      <c r="HW64" s="383">
        <f aca="true" t="shared" si="122" ref="HW64:HW83">FO64+FV64+GC64+GJ64+GQ64+GX64+HE64+HL64+HS64+IO38</f>
        <v>0</v>
      </c>
      <c r="HX64" s="70">
        <f aca="true" t="shared" si="123" ref="HX64:HX83">HT64+HU64+HV64-HW64</f>
        <v>1180320</v>
      </c>
    </row>
    <row r="65" spans="1:232" ht="16.5" thickBot="1">
      <c r="A65" s="11" t="s">
        <v>63</v>
      </c>
      <c r="B65" s="421" t="s">
        <v>64</v>
      </c>
      <c r="C65" s="421" t="s">
        <v>65</v>
      </c>
      <c r="D65" s="374" t="s">
        <v>66</v>
      </c>
      <c r="E65" s="295" t="s">
        <v>66</v>
      </c>
      <c r="G65" s="394" t="s">
        <v>348</v>
      </c>
      <c r="H65" s="440"/>
      <c r="I65" s="501">
        <v>0.08</v>
      </c>
      <c r="J65" s="203"/>
      <c r="K65" s="254">
        <f>IF(($T$3+$Y$3+$AD$3+$AI$3+$AN$3+$AT$3+$AY$3+$BD$3)&gt;=$E$163,8,100)</f>
        <v>100</v>
      </c>
      <c r="L65" s="254" t="s">
        <v>349</v>
      </c>
      <c r="M65" s="10">
        <f>$EA$80</f>
        <v>710296.1424304075</v>
      </c>
      <c r="N65" s="282"/>
      <c r="O65" s="254">
        <f>($CD$2/305)/2.204622622</f>
        <v>32.3429549311015</v>
      </c>
      <c r="P65" s="90">
        <f t="shared" si="115"/>
        <v>0.0574</v>
      </c>
      <c r="Q65" s="10">
        <f>IF($I$14="yes",P65*((($CD$1*100)-($I$7*$I$10))/2.204622622),0)</f>
        <v>76475.29521583501</v>
      </c>
      <c r="R65" s="81"/>
      <c r="S65" s="57" t="s">
        <v>350</v>
      </c>
      <c r="T65" s="110">
        <f>IF($I$14="yes",(T48+T60-T10-T11-T12)/T1,(T48+T60-T10-T11-T12)/(($I$7*$I$10)/100))</f>
        <v>17.97844937614457</v>
      </c>
      <c r="U65" s="110"/>
      <c r="V65" s="110"/>
      <c r="W65" s="110"/>
      <c r="X65" s="110"/>
      <c r="Y65" s="110">
        <f>IF($I$14="yes",(Y48+Y60-Y10-Y11-Y12)/Y1,(Y48+Y60-Y10-Y11-Y12)/(($I$7*$I$10)/100))</f>
        <v>17.83914058001071</v>
      </c>
      <c r="Z65" s="110"/>
      <c r="AA65" s="110"/>
      <c r="AB65" s="110"/>
      <c r="AC65" s="110"/>
      <c r="AD65" s="110">
        <f>IF($I$14="yes",(AD48+AD60-AD10-AD11-AD12)/AD1,(AD48+AD60-AD10-AD11-AD12)/(($I$7*$I$10)/100))</f>
        <v>17.701300454504548</v>
      </c>
      <c r="AE65" s="110"/>
      <c r="AF65" s="110"/>
      <c r="AG65" s="110"/>
      <c r="AH65" s="110"/>
      <c r="AI65" s="110">
        <f>IF($I$14="yes",(AI48+AI60-AI10-AI11-AI12)/AI1,(AI48+AI60-AI10-AI11-AI12)/(($I$7*$I$10)/100))</f>
        <v>17.564914018080454</v>
      </c>
      <c r="AJ65" s="110"/>
      <c r="AK65" s="110"/>
      <c r="AL65" s="110"/>
      <c r="AM65" s="110"/>
      <c r="AN65" s="110">
        <f>IF($I$14="yes",(AN48+AN60-AN10-AN11-AN12)/AN1,(AN48+AN60-AN10-AN11-AN12)/(($I$7*$I$10)/100))</f>
        <v>17.42996644188387</v>
      </c>
      <c r="AO65" s="168"/>
      <c r="AP65" s="168"/>
      <c r="AQ65" s="168"/>
      <c r="AR65" s="168"/>
      <c r="AS65" s="57" t="s">
        <v>350</v>
      </c>
      <c r="AT65" s="110">
        <f>IF($I$14="yes",(AT48+AT60-AT10-AT11-AT12)/AT1,(AT48+AT60-AT10-AT11-AT12)/(($I$7*$I$10)/100))</f>
        <v>15.208964351642226</v>
      </c>
      <c r="AU65" s="110"/>
      <c r="AV65" s="110"/>
      <c r="AW65" s="110"/>
      <c r="AX65" s="110"/>
      <c r="AY65" s="110">
        <f>IF($I$14="yes",(AY48+AY60-AY10-AY11-AY12)/AY1,(AY48+AY60-AY10-AY11-AY12)/(($I$7*$I$10)/100))</f>
        <v>15.097255839857883</v>
      </c>
      <c r="AZ65" s="110"/>
      <c r="BA65" s="110"/>
      <c r="BB65" s="110"/>
      <c r="BC65" s="110"/>
      <c r="BD65" s="110">
        <f>IF($I$14="yes",(BD48+BD60-BD10-BD11-BD12)/BD1,(BD48+BD60-BD10-BD11-BD12)/(($I$7*$I$10)/100))</f>
        <v>14.986958538712901</v>
      </c>
      <c r="BE65" s="110"/>
      <c r="BF65" s="110"/>
      <c r="BG65" s="110"/>
      <c r="BH65" s="110"/>
      <c r="BI65" s="110">
        <f>IF($I$14="yes",(BI48+BI60-BI10-BI11-BI12)/BI1,(BI48+BI60-BI10-BI11-BI12)/(($I$7*$I$10)/100))</f>
        <v>14.877840088684499</v>
      </c>
      <c r="BJ65" s="110"/>
      <c r="BK65" s="110"/>
      <c r="BL65" s="110"/>
      <c r="BM65" s="110"/>
      <c r="BN65" s="110">
        <f>IF($I$14="yes",(BN48+BN60-BN10-BN11-BN12)/BN1,(BN48+BN60-BN10-BN11-BN12)/(($I$7*$I$10)/100))</f>
        <v>14.769888403241868</v>
      </c>
      <c r="BO65" s="168"/>
      <c r="BP65" s="168"/>
      <c r="BQ65" s="168"/>
      <c r="BR65" s="168"/>
      <c r="BS65" s="57" t="s">
        <v>350</v>
      </c>
      <c r="BT65" s="110">
        <f>IF($I$14="yes",(BT48+BT60-BT10-BT11-BT12)/BT1,(BT48+BT60-BT10-BT11-BT12)/(($I$7*$I$10)/100))</f>
        <v>14.841276568363178</v>
      </c>
      <c r="BU65" s="168"/>
      <c r="BV65" s="168"/>
      <c r="BW65" s="168"/>
      <c r="BX65" s="168"/>
      <c r="BY65" s="110">
        <f>IF($I$14="yes",(BY48+BY60-BY10-BY11-BY12)/BY1,(BY48+BY60-BY10-BY11-BY12)/(($I$7*$I$10)/100))</f>
        <v>14.733858437929975</v>
      </c>
      <c r="BZ65" s="168"/>
      <c r="CA65" s="168"/>
      <c r="CB65" s="168"/>
      <c r="CC65" s="168"/>
      <c r="CD65" s="110">
        <f>IF($I$14="yes",(CD48+CD60-CD10-CD11-CD12)/CD1,(CD48+CD60-CD10-CD11-CD12)/(($I$7*$I$10)/100))</f>
        <v>14.62758901749802</v>
      </c>
      <c r="CE65" s="168"/>
      <c r="CF65" s="168"/>
      <c r="CG65" s="168"/>
      <c r="CH65" s="168"/>
      <c r="CI65" s="110">
        <f>IF($I$14="yes",(CI48+CI60-CI10-CI11-CI12)/CI1,(CI48+CI60-CI10-CI11-CI12)/(($I$7*$I$10)/100))</f>
        <v>14.522456535146302</v>
      </c>
      <c r="CJ65" s="168"/>
      <c r="CK65" s="168"/>
      <c r="CL65" s="168"/>
      <c r="CM65" s="168"/>
      <c r="CN65" s="110">
        <f>IF($I$14="yes",(CN48+CN60-CN10-CN11-CN12)/CN1,(CN48+CN60-CN10-CN11-CN12)/(($I$7*$I$10)/100))</f>
        <v>14.418449339453591</v>
      </c>
      <c r="CO65" s="168"/>
      <c r="CP65" s="168"/>
      <c r="CQ65" s="168"/>
      <c r="CR65" s="168"/>
      <c r="CS65" s="57" t="s">
        <v>350</v>
      </c>
      <c r="CT65" s="110">
        <f>IF($I$14="yes",(CT48+CT60-CT10-CT11-CT12)/CT1,(CT48+CT60-CT10-CT11-CT12)/(($I$7*$I$10)/100))</f>
        <v>14.315555898266268</v>
      </c>
      <c r="CU65" s="168"/>
      <c r="CV65" s="168"/>
      <c r="CW65" s="168"/>
      <c r="CX65" s="168"/>
      <c r="CY65" s="110">
        <f>IF($I$14="yes",(CY48+CY60-CY10-CY11-CY12)/CY1,(CY48+CY60-CY10-CY11-CY12)/(($I$7*$I$10)/100))</f>
        <v>14.213764797478781</v>
      </c>
      <c r="CZ65" s="168"/>
      <c r="DA65" s="168"/>
      <c r="DB65" s="168"/>
      <c r="DC65" s="168"/>
      <c r="DD65" s="110">
        <f>IF($I$14="yes",(DD48+DD60-DD10-DD11-DD12)/DD1,(DD48+DD60-DD10-DD11-DD12)/(($I$7*$I$10)/100))</f>
        <v>14.232700621387933</v>
      </c>
      <c r="DE65" s="168"/>
      <c r="DF65" s="168"/>
      <c r="DG65" s="168"/>
      <c r="DH65" s="168"/>
      <c r="DI65" s="110">
        <f>IF($I$14="yes",(DI48+DI60-DI10-DI11-DI12)/DI1,(DI48+DI60-DI10-DI11-DI12)/(($I$7*$I$10)/100))</f>
        <v>14.253725553918912</v>
      </c>
      <c r="DJ65" s="168"/>
      <c r="DK65" s="168"/>
      <c r="DL65" s="168"/>
      <c r="DM65" s="168"/>
      <c r="DN65" s="111">
        <f>IF($I$14="yes",(DN48+DN60-DN10-DN11-DN12)/DN1,(DN48+DN60-DN10-DN11-DN12)/(($I$7*$I$10)/100))</f>
        <v>14.241399860896662</v>
      </c>
      <c r="DO65" s="168"/>
      <c r="DP65" s="168"/>
      <c r="DQ65" s="168"/>
      <c r="DR65" s="194"/>
      <c r="DS65" s="109"/>
      <c r="DT65" s="65"/>
      <c r="DU65" s="63" t="s">
        <v>19</v>
      </c>
      <c r="DV65" s="63" t="s">
        <v>226</v>
      </c>
      <c r="DW65" s="63" t="s">
        <v>203</v>
      </c>
      <c r="DX65" s="63" t="s">
        <v>227</v>
      </c>
      <c r="DY65" s="63" t="s">
        <v>228</v>
      </c>
      <c r="DZ65" s="63" t="s">
        <v>27</v>
      </c>
      <c r="EA65" s="64" t="s">
        <v>229</v>
      </c>
      <c r="FH65" s="62">
        <v>2</v>
      </c>
      <c r="FI65" s="107">
        <v>0</v>
      </c>
      <c r="FJ65" s="107">
        <v>0</v>
      </c>
      <c r="FK65" s="107">
        <v>0</v>
      </c>
      <c r="FL65" s="107">
        <v>0</v>
      </c>
      <c r="FM65" s="107">
        <v>0</v>
      </c>
      <c r="FN65" s="107">
        <v>0</v>
      </c>
      <c r="FO65" s="107">
        <v>0</v>
      </c>
      <c r="FP65" s="107">
        <v>0</v>
      </c>
      <c r="FQ65" s="107">
        <v>0</v>
      </c>
      <c r="FR65" s="107">
        <v>0</v>
      </c>
      <c r="FS65" s="107">
        <v>0</v>
      </c>
      <c r="FT65" s="107">
        <v>0</v>
      </c>
      <c r="FU65" s="107">
        <v>0</v>
      </c>
      <c r="FV65" s="107">
        <v>0</v>
      </c>
      <c r="FW65" s="107">
        <v>0</v>
      </c>
      <c r="FX65" s="107">
        <v>0</v>
      </c>
      <c r="FY65" s="107">
        <v>0</v>
      </c>
      <c r="FZ65" s="107">
        <v>0</v>
      </c>
      <c r="GA65" s="107">
        <v>0</v>
      </c>
      <c r="GB65" s="107">
        <v>0</v>
      </c>
      <c r="GC65" s="107">
        <v>0</v>
      </c>
      <c r="GD65" s="107">
        <v>0</v>
      </c>
      <c r="GE65" s="107">
        <v>0</v>
      </c>
      <c r="GF65" s="107">
        <v>0</v>
      </c>
      <c r="GG65" s="107">
        <v>0</v>
      </c>
      <c r="GH65" s="107">
        <v>0</v>
      </c>
      <c r="GI65" s="107">
        <v>0</v>
      </c>
      <c r="GJ65" s="107">
        <v>0</v>
      </c>
      <c r="GK65" s="107">
        <v>0</v>
      </c>
      <c r="GL65" s="107">
        <v>0</v>
      </c>
      <c r="GM65" s="107">
        <v>0</v>
      </c>
      <c r="GN65" s="107">
        <v>0</v>
      </c>
      <c r="GO65" s="107">
        <v>0</v>
      </c>
      <c r="GP65" s="107">
        <v>0</v>
      </c>
      <c r="GQ65" s="107">
        <v>0</v>
      </c>
      <c r="GR65" s="107">
        <v>0</v>
      </c>
      <c r="GS65" s="107">
        <v>0</v>
      </c>
      <c r="GT65" s="107">
        <v>0</v>
      </c>
      <c r="GU65" s="107">
        <v>0</v>
      </c>
      <c r="GV65" s="107">
        <v>0</v>
      </c>
      <c r="GW65" s="107">
        <v>0</v>
      </c>
      <c r="GX65" s="107">
        <v>0</v>
      </c>
      <c r="GY65" s="107">
        <v>0</v>
      </c>
      <c r="GZ65" s="107">
        <v>0</v>
      </c>
      <c r="HA65" s="107">
        <v>0</v>
      </c>
      <c r="HB65" s="107">
        <v>0</v>
      </c>
      <c r="HC65" s="107">
        <v>0</v>
      </c>
      <c r="HD65" s="107">
        <v>0</v>
      </c>
      <c r="HE65" s="107">
        <v>0</v>
      </c>
      <c r="HF65" s="107">
        <v>0</v>
      </c>
      <c r="HG65" s="107">
        <v>0</v>
      </c>
      <c r="HH65" s="107">
        <v>0</v>
      </c>
      <c r="HI65" s="107">
        <v>0</v>
      </c>
      <c r="HJ65" s="107">
        <v>0</v>
      </c>
      <c r="HK65" s="107">
        <v>0</v>
      </c>
      <c r="HL65" s="107">
        <v>0</v>
      </c>
      <c r="HM65" s="107">
        <v>0</v>
      </c>
      <c r="HN65" s="107">
        <v>0</v>
      </c>
      <c r="HO65" s="107">
        <v>0</v>
      </c>
      <c r="HP65" s="107">
        <v>0</v>
      </c>
      <c r="HQ65" s="107">
        <v>0</v>
      </c>
      <c r="HR65" s="107">
        <v>0</v>
      </c>
      <c r="HS65" s="107">
        <v>0</v>
      </c>
      <c r="HT65" s="107">
        <f t="shared" si="119"/>
        <v>683280</v>
      </c>
      <c r="HU65" s="107">
        <f t="shared" si="120"/>
        <v>166926.66666666666</v>
      </c>
      <c r="HV65" s="107">
        <f t="shared" si="121"/>
        <v>6480</v>
      </c>
      <c r="HW65" s="383">
        <f t="shared" si="122"/>
        <v>0</v>
      </c>
      <c r="HX65" s="70">
        <f t="shared" si="123"/>
        <v>856686.6666666666</v>
      </c>
    </row>
    <row r="66" spans="1:232" ht="17.25" thickBot="1" thickTop="1">
      <c r="A66" s="479">
        <v>2</v>
      </c>
      <c r="B66" s="416" t="s">
        <v>351</v>
      </c>
      <c r="C66" s="411" t="s">
        <v>209</v>
      </c>
      <c r="D66" s="484">
        <v>18000</v>
      </c>
      <c r="E66" s="367">
        <f>D66*A66</f>
        <v>36000</v>
      </c>
      <c r="G66" s="42" t="s">
        <v>352</v>
      </c>
      <c r="H66" s="440"/>
      <c r="I66" s="362"/>
      <c r="J66" s="203"/>
      <c r="K66" s="254">
        <f>IF(($T$3+$Y$3+$AD$3+$AI$3+$AN$3+$AT$3+$AY$3+$BD$3+0.5*$BI$3)&gt;=$E$163,8.5,100)</f>
        <v>100</v>
      </c>
      <c r="L66" s="254" t="s">
        <v>349</v>
      </c>
      <c r="M66" s="10">
        <f>$EA$81</f>
        <v>722257.8688663691</v>
      </c>
      <c r="N66" s="285"/>
      <c r="O66" s="254">
        <f>($CI$2/305)/2.204622622</f>
        <v>32.666384480412525</v>
      </c>
      <c r="P66" s="90">
        <f t="shared" si="115"/>
        <v>0.0575</v>
      </c>
      <c r="Q66" s="10">
        <f>IF($I$14="yes",P66*((($CI$1*100)-($I$7*$I$10))/2.204622622),0)</f>
        <v>83415.10230271574</v>
      </c>
      <c r="R66" s="81"/>
      <c r="S66" s="95"/>
      <c r="U66" s="3"/>
      <c r="V66" s="3"/>
      <c r="W66" s="3"/>
      <c r="X66" s="3"/>
      <c r="DS66" s="109"/>
      <c r="DT66" s="66" t="s">
        <v>69</v>
      </c>
      <c r="DU66" s="67" t="s">
        <v>34</v>
      </c>
      <c r="DV66" s="67" t="s">
        <v>237</v>
      </c>
      <c r="DW66" s="67" t="s">
        <v>238</v>
      </c>
      <c r="DX66" s="67" t="s">
        <v>238</v>
      </c>
      <c r="DY66" s="63" t="s">
        <v>238</v>
      </c>
      <c r="DZ66" s="67" t="s">
        <v>239</v>
      </c>
      <c r="EA66" s="64" t="s">
        <v>240</v>
      </c>
      <c r="FH66" s="62">
        <v>3</v>
      </c>
      <c r="FI66" s="107">
        <v>0</v>
      </c>
      <c r="FJ66" s="107">
        <v>0</v>
      </c>
      <c r="FK66" s="107">
        <v>0</v>
      </c>
      <c r="FL66" s="107">
        <v>0</v>
      </c>
      <c r="FM66" s="107">
        <v>0</v>
      </c>
      <c r="FN66" s="107">
        <v>0</v>
      </c>
      <c r="FO66" s="107">
        <v>0</v>
      </c>
      <c r="FP66" s="107">
        <v>0</v>
      </c>
      <c r="FQ66" s="107">
        <v>0</v>
      </c>
      <c r="FR66" s="107">
        <v>0</v>
      </c>
      <c r="FS66" s="107">
        <v>0</v>
      </c>
      <c r="FT66" s="107">
        <v>0</v>
      </c>
      <c r="FU66" s="107">
        <v>0</v>
      </c>
      <c r="FV66" s="107">
        <v>0</v>
      </c>
      <c r="FW66" s="107">
        <v>0</v>
      </c>
      <c r="FX66" s="107">
        <v>0</v>
      </c>
      <c r="FY66" s="107">
        <v>0</v>
      </c>
      <c r="FZ66" s="107">
        <v>0</v>
      </c>
      <c r="GA66" s="107">
        <v>0</v>
      </c>
      <c r="GB66" s="107">
        <v>0</v>
      </c>
      <c r="GC66" s="107">
        <v>0</v>
      </c>
      <c r="GD66" s="107">
        <v>0</v>
      </c>
      <c r="GE66" s="107">
        <v>0</v>
      </c>
      <c r="GF66" s="107">
        <v>0</v>
      </c>
      <c r="GG66" s="107">
        <v>0</v>
      </c>
      <c r="GH66" s="107">
        <v>0</v>
      </c>
      <c r="GI66" s="107">
        <v>0</v>
      </c>
      <c r="GJ66" s="107">
        <v>0</v>
      </c>
      <c r="GK66" s="107">
        <v>0</v>
      </c>
      <c r="GL66" s="107">
        <v>0</v>
      </c>
      <c r="GM66" s="107">
        <v>0</v>
      </c>
      <c r="GN66" s="107">
        <v>0</v>
      </c>
      <c r="GO66" s="107">
        <v>0</v>
      </c>
      <c r="GP66" s="107">
        <v>0</v>
      </c>
      <c r="GQ66" s="107">
        <v>0</v>
      </c>
      <c r="GR66" s="107">
        <v>0</v>
      </c>
      <c r="GS66" s="107">
        <v>0</v>
      </c>
      <c r="GT66" s="107">
        <v>0</v>
      </c>
      <c r="GU66" s="107">
        <v>0</v>
      </c>
      <c r="GV66" s="107">
        <v>0</v>
      </c>
      <c r="GW66" s="107">
        <v>0</v>
      </c>
      <c r="GX66" s="107">
        <v>0</v>
      </c>
      <c r="GY66" s="107">
        <v>0</v>
      </c>
      <c r="GZ66" s="107">
        <v>0</v>
      </c>
      <c r="HA66" s="107">
        <v>0</v>
      </c>
      <c r="HB66" s="107">
        <v>0</v>
      </c>
      <c r="HC66" s="107">
        <v>0</v>
      </c>
      <c r="HD66" s="107">
        <v>0</v>
      </c>
      <c r="HE66" s="107">
        <v>0</v>
      </c>
      <c r="HF66" s="107">
        <v>0</v>
      </c>
      <c r="HG66" s="107">
        <v>0</v>
      </c>
      <c r="HH66" s="107">
        <v>0</v>
      </c>
      <c r="HI66" s="107">
        <v>0</v>
      </c>
      <c r="HJ66" s="107">
        <v>0</v>
      </c>
      <c r="HK66" s="107">
        <v>0</v>
      </c>
      <c r="HL66" s="107">
        <v>0</v>
      </c>
      <c r="HM66" s="107">
        <v>0</v>
      </c>
      <c r="HN66" s="107">
        <v>0</v>
      </c>
      <c r="HO66" s="107">
        <v>0</v>
      </c>
      <c r="HP66" s="107">
        <v>0</v>
      </c>
      <c r="HQ66" s="107">
        <v>0</v>
      </c>
      <c r="HR66" s="107">
        <v>0</v>
      </c>
      <c r="HS66" s="107">
        <v>0</v>
      </c>
      <c r="HT66" s="107">
        <f t="shared" si="119"/>
        <v>556016.6666666667</v>
      </c>
      <c r="HU66" s="107">
        <f t="shared" si="120"/>
        <v>123856.66666666667</v>
      </c>
      <c r="HV66" s="107">
        <f t="shared" si="121"/>
        <v>6480</v>
      </c>
      <c r="HW66" s="383">
        <f t="shared" si="122"/>
        <v>0</v>
      </c>
      <c r="HX66" s="70">
        <f t="shared" si="123"/>
        <v>686353.3333333334</v>
      </c>
    </row>
    <row r="67" spans="1:232" ht="16.5" thickTop="1">
      <c r="A67" s="480">
        <v>30000</v>
      </c>
      <c r="B67" s="412" t="s">
        <v>353</v>
      </c>
      <c r="C67" s="413" t="s">
        <v>354</v>
      </c>
      <c r="D67" s="482">
        <v>0.5</v>
      </c>
      <c r="E67" s="458">
        <f>D67*A67</f>
        <v>15000</v>
      </c>
      <c r="G67" s="394" t="s">
        <v>355</v>
      </c>
      <c r="H67" s="440"/>
      <c r="I67" s="517">
        <v>3.33</v>
      </c>
      <c r="J67" s="203"/>
      <c r="K67" s="254">
        <f>IF(($T$3+$Y$3+$AD$3+$AI$3+$AN$3+$AT$3+$AY$3+$BD$3+$BI$3)&gt;=$E$163,9,100)</f>
        <v>100</v>
      </c>
      <c r="L67" s="254" t="s">
        <v>356</v>
      </c>
      <c r="M67" s="10">
        <f>$EA$82</f>
        <v>769727.9323234963</v>
      </c>
      <c r="N67" s="285"/>
      <c r="O67" s="254">
        <f>($CN$2/305)/2.204622622</f>
        <v>32.99304832521665</v>
      </c>
      <c r="P67" s="90">
        <f t="shared" si="115"/>
        <v>0.0576</v>
      </c>
      <c r="Q67" s="10">
        <f>IF($I$14="yes",P67*((($CN$1*100)-($I$7*$I$10))/2.204622622),0)</f>
        <v>90446.76855647369</v>
      </c>
      <c r="R67" s="81"/>
      <c r="DN67" s="205"/>
      <c r="DS67" s="112"/>
      <c r="DT67" s="59">
        <v>1</v>
      </c>
      <c r="DU67" s="8">
        <f>($T$13)*(1-$I$129)</f>
        <v>2578875.7499999995</v>
      </c>
      <c r="DV67" s="8">
        <f>($T$36)*(1-$I$129)</f>
        <v>2295988.8929999997</v>
      </c>
      <c r="DW67" s="8">
        <f>($T$44)*(1-$I$129)</f>
        <v>18627.839999999997</v>
      </c>
      <c r="DX67" s="8">
        <f>($T$45)*(1-$I$129)</f>
        <v>19483.199999999997</v>
      </c>
      <c r="DY67" s="8">
        <f>($T$46)*(1-$I$129)</f>
        <v>10454.4</v>
      </c>
      <c r="DZ67" s="10">
        <f aca="true" t="shared" si="124" ref="DZ67:DZ86">IF($I$120=3,($GQ10+$HX64)*($I$129),($GQ10+$HX117)*($I$129))</f>
        <v>566653.0563636364</v>
      </c>
      <c r="EA67" s="69">
        <f aca="true" t="shared" si="125" ref="EA67:EA86">DU67+DZ67-DV67-DW67-DX67-DY67</f>
        <v>800974.4733636361</v>
      </c>
      <c r="FH67" s="62">
        <v>4</v>
      </c>
      <c r="FI67" s="107">
        <v>0</v>
      </c>
      <c r="FJ67" s="107">
        <v>0</v>
      </c>
      <c r="FK67" s="107">
        <v>0</v>
      </c>
      <c r="FL67" s="107">
        <v>0</v>
      </c>
      <c r="FM67" s="107">
        <v>0</v>
      </c>
      <c r="FN67" s="107">
        <v>0</v>
      </c>
      <c r="FO67" s="107">
        <v>0</v>
      </c>
      <c r="FP67" s="107">
        <v>0</v>
      </c>
      <c r="FQ67" s="107">
        <v>0</v>
      </c>
      <c r="FR67" s="107">
        <v>0</v>
      </c>
      <c r="FS67" s="107">
        <v>0</v>
      </c>
      <c r="FT67" s="107">
        <v>0</v>
      </c>
      <c r="FU67" s="107">
        <v>0</v>
      </c>
      <c r="FV67" s="107">
        <v>0</v>
      </c>
      <c r="FW67" s="107">
        <v>0</v>
      </c>
      <c r="FX67" s="107">
        <v>0</v>
      </c>
      <c r="FY67" s="107">
        <v>0</v>
      </c>
      <c r="FZ67" s="107">
        <v>0</v>
      </c>
      <c r="GA67" s="107">
        <v>0</v>
      </c>
      <c r="GB67" s="107">
        <v>0</v>
      </c>
      <c r="GC67" s="107">
        <v>0</v>
      </c>
      <c r="GD67" s="107">
        <v>0</v>
      </c>
      <c r="GE67" s="107">
        <v>0</v>
      </c>
      <c r="GF67" s="107">
        <v>0</v>
      </c>
      <c r="GG67" s="107">
        <v>0</v>
      </c>
      <c r="GH67" s="107">
        <v>0</v>
      </c>
      <c r="GI67" s="107">
        <v>0</v>
      </c>
      <c r="GJ67" s="107">
        <v>0</v>
      </c>
      <c r="GK67" s="107">
        <v>0</v>
      </c>
      <c r="GL67" s="107">
        <v>0</v>
      </c>
      <c r="GM67" s="107">
        <v>0</v>
      </c>
      <c r="GN67" s="107">
        <v>0</v>
      </c>
      <c r="GO67" s="107">
        <v>0</v>
      </c>
      <c r="GP67" s="107">
        <v>0</v>
      </c>
      <c r="GQ67" s="107">
        <v>0</v>
      </c>
      <c r="GR67" s="107">
        <v>0</v>
      </c>
      <c r="GS67" s="107">
        <v>0</v>
      </c>
      <c r="GT67" s="107">
        <v>0</v>
      </c>
      <c r="GU67" s="107">
        <v>0</v>
      </c>
      <c r="GV67" s="107">
        <v>0</v>
      </c>
      <c r="GW67" s="107">
        <v>0</v>
      </c>
      <c r="GX67" s="107">
        <v>0</v>
      </c>
      <c r="GY67" s="107">
        <v>0</v>
      </c>
      <c r="GZ67" s="107">
        <v>0</v>
      </c>
      <c r="HA67" s="107">
        <v>0</v>
      </c>
      <c r="HB67" s="107">
        <v>0</v>
      </c>
      <c r="HC67" s="107">
        <v>0</v>
      </c>
      <c r="HD67" s="107">
        <v>0</v>
      </c>
      <c r="HE67" s="107">
        <v>0</v>
      </c>
      <c r="HF67" s="107">
        <v>0</v>
      </c>
      <c r="HG67" s="107">
        <v>0</v>
      </c>
      <c r="HH67" s="107">
        <v>0</v>
      </c>
      <c r="HI67" s="107">
        <v>0</v>
      </c>
      <c r="HJ67" s="107">
        <v>0</v>
      </c>
      <c r="HK67" s="107">
        <v>0</v>
      </c>
      <c r="HL67" s="107">
        <v>0</v>
      </c>
      <c r="HM67" s="107">
        <v>0</v>
      </c>
      <c r="HN67" s="107">
        <v>0</v>
      </c>
      <c r="HO67" s="107">
        <v>0</v>
      </c>
      <c r="HP67" s="107">
        <v>0</v>
      </c>
      <c r="HQ67" s="107">
        <v>0</v>
      </c>
      <c r="HR67" s="107">
        <v>0</v>
      </c>
      <c r="HS67" s="107">
        <v>0</v>
      </c>
      <c r="HT67" s="107">
        <f t="shared" si="119"/>
        <v>472066.6666666667</v>
      </c>
      <c r="HU67" s="107">
        <f t="shared" si="120"/>
        <v>123856.66666666667</v>
      </c>
      <c r="HV67" s="107">
        <f t="shared" si="121"/>
        <v>6480</v>
      </c>
      <c r="HW67" s="383">
        <f t="shared" si="122"/>
        <v>0</v>
      </c>
      <c r="HX67" s="70">
        <f t="shared" si="123"/>
        <v>602403.3333333334</v>
      </c>
    </row>
    <row r="68" spans="1:232" ht="15.75">
      <c r="A68" s="480">
        <v>1</v>
      </c>
      <c r="B68" s="412" t="s">
        <v>357</v>
      </c>
      <c r="C68" s="413" t="s">
        <v>209</v>
      </c>
      <c r="D68" s="485">
        <v>5000</v>
      </c>
      <c r="E68" s="458">
        <f>D68*A68</f>
        <v>5000</v>
      </c>
      <c r="G68" s="394" t="s">
        <v>358</v>
      </c>
      <c r="H68" s="440"/>
      <c r="I68" s="500" t="s">
        <v>101</v>
      </c>
      <c r="J68" s="203"/>
      <c r="K68" s="254">
        <f>IF(($T$3+$Y$3+$AD$3+$AI$3+$AN$3+$AT$3+$AY$3+$BD$3+$BI$3+0.5*$BN$3)&gt;=$E$163,9.5,100)</f>
        <v>100</v>
      </c>
      <c r="L68" s="254" t="s">
        <v>359</v>
      </c>
      <c r="M68" s="10">
        <f>$EA$83</f>
        <v>777406.1769739958</v>
      </c>
      <c r="N68" s="286"/>
      <c r="O68" s="254">
        <f>($CT$2/305)/2.204622622</f>
        <v>33.32297880846882</v>
      </c>
      <c r="P68" s="90">
        <f t="shared" si="115"/>
        <v>0.0577</v>
      </c>
      <c r="Q68" s="10">
        <f>IF($I$14="yes",P68*((($CT$1*100)-($I$7*$I$10))/2.204622622),0)</f>
        <v>97571.33212774448</v>
      </c>
      <c r="R68" s="81"/>
      <c r="DN68" s="205"/>
      <c r="DT68" s="62">
        <v>2</v>
      </c>
      <c r="DU68" s="107">
        <f>($Y$13)*(1-$I$129)</f>
        <v>2602721.286</v>
      </c>
      <c r="DV68" s="107">
        <f>($Y$36)*(1-$I$129)</f>
        <v>2301962.9043831434</v>
      </c>
      <c r="DW68" s="107">
        <f>($Y$44)*(1-$I$129)</f>
        <v>18627.839999999997</v>
      </c>
      <c r="DX68" s="107">
        <f>($Y$45)*(1-$I$129)</f>
        <v>19483.199999999997</v>
      </c>
      <c r="DY68" s="107">
        <f>($Y$46)*(1-$I$129)</f>
        <v>10454.4</v>
      </c>
      <c r="DZ68" s="10">
        <f t="shared" si="124"/>
        <v>427710.05139393936</v>
      </c>
      <c r="EA68" s="79">
        <f t="shared" si="125"/>
        <v>679902.9930107957</v>
      </c>
      <c r="FH68" s="62">
        <v>5</v>
      </c>
      <c r="FI68" s="107">
        <v>0</v>
      </c>
      <c r="FJ68" s="107">
        <v>0</v>
      </c>
      <c r="FK68" s="107">
        <v>0</v>
      </c>
      <c r="FL68" s="107">
        <v>0</v>
      </c>
      <c r="FM68" s="107">
        <v>0</v>
      </c>
      <c r="FN68" s="107">
        <v>0</v>
      </c>
      <c r="FO68" s="107">
        <v>0</v>
      </c>
      <c r="FP68" s="107">
        <v>0</v>
      </c>
      <c r="FQ68" s="107">
        <v>0</v>
      </c>
      <c r="FR68" s="107">
        <v>0</v>
      </c>
      <c r="FS68" s="107">
        <v>0</v>
      </c>
      <c r="FT68" s="107">
        <v>0</v>
      </c>
      <c r="FU68" s="107">
        <v>0</v>
      </c>
      <c r="FV68" s="107">
        <v>0</v>
      </c>
      <c r="FW68" s="107">
        <v>0</v>
      </c>
      <c r="FX68" s="107">
        <v>0</v>
      </c>
      <c r="FY68" s="107">
        <v>0</v>
      </c>
      <c r="FZ68" s="107">
        <v>0</v>
      </c>
      <c r="GA68" s="107">
        <v>0</v>
      </c>
      <c r="GB68" s="107">
        <v>0</v>
      </c>
      <c r="GC68" s="107">
        <v>0</v>
      </c>
      <c r="GD68" s="107">
        <v>0</v>
      </c>
      <c r="GE68" s="107">
        <v>0</v>
      </c>
      <c r="GF68" s="107">
        <v>0</v>
      </c>
      <c r="GG68" s="107">
        <v>0</v>
      </c>
      <c r="GH68" s="107">
        <v>0</v>
      </c>
      <c r="GI68" s="107">
        <v>0</v>
      </c>
      <c r="GJ68" s="107">
        <v>0</v>
      </c>
      <c r="GK68" s="107">
        <v>0</v>
      </c>
      <c r="GL68" s="107">
        <v>0</v>
      </c>
      <c r="GM68" s="107">
        <v>0</v>
      </c>
      <c r="GN68" s="107">
        <v>0</v>
      </c>
      <c r="GO68" s="107">
        <v>0</v>
      </c>
      <c r="GP68" s="107">
        <v>0</v>
      </c>
      <c r="GQ68" s="107">
        <v>0</v>
      </c>
      <c r="GR68" s="107">
        <v>0</v>
      </c>
      <c r="GS68" s="107">
        <v>0</v>
      </c>
      <c r="GT68" s="107">
        <v>0</v>
      </c>
      <c r="GU68" s="107">
        <v>0</v>
      </c>
      <c r="GV68" s="107">
        <v>0</v>
      </c>
      <c r="GW68" s="107">
        <v>0</v>
      </c>
      <c r="GX68" s="107">
        <v>0</v>
      </c>
      <c r="GY68" s="107">
        <v>0</v>
      </c>
      <c r="GZ68" s="107">
        <v>0</v>
      </c>
      <c r="HA68" s="107">
        <v>0</v>
      </c>
      <c r="HB68" s="107">
        <v>0</v>
      </c>
      <c r="HC68" s="107">
        <v>0</v>
      </c>
      <c r="HD68" s="107">
        <v>0</v>
      </c>
      <c r="HE68" s="107">
        <v>0</v>
      </c>
      <c r="HF68" s="107">
        <v>0</v>
      </c>
      <c r="HG68" s="107">
        <v>0</v>
      </c>
      <c r="HH68" s="107">
        <v>0</v>
      </c>
      <c r="HI68" s="107">
        <v>0</v>
      </c>
      <c r="HJ68" s="107">
        <v>0</v>
      </c>
      <c r="HK68" s="107">
        <v>0</v>
      </c>
      <c r="HL68" s="107">
        <v>0</v>
      </c>
      <c r="HM68" s="107">
        <v>0</v>
      </c>
      <c r="HN68" s="107">
        <v>0</v>
      </c>
      <c r="HO68" s="107">
        <v>0</v>
      </c>
      <c r="HP68" s="107">
        <v>0</v>
      </c>
      <c r="HQ68" s="107">
        <v>0</v>
      </c>
      <c r="HR68" s="107">
        <v>0</v>
      </c>
      <c r="HS68" s="107">
        <v>0</v>
      </c>
      <c r="HT68" s="107">
        <f t="shared" si="119"/>
        <v>472066.6666666667</v>
      </c>
      <c r="HU68" s="107">
        <f t="shared" si="120"/>
        <v>123856.66666666667</v>
      </c>
      <c r="HV68" s="107">
        <f t="shared" si="121"/>
        <v>6480</v>
      </c>
      <c r="HW68" s="383">
        <f t="shared" si="122"/>
        <v>0</v>
      </c>
      <c r="HX68" s="70">
        <f t="shared" si="123"/>
        <v>602403.3333333334</v>
      </c>
    </row>
    <row r="69" spans="1:232" ht="16.5" thickBot="1">
      <c r="A69" s="481">
        <v>5000</v>
      </c>
      <c r="B69" s="414" t="s">
        <v>360</v>
      </c>
      <c r="C69" s="415" t="s">
        <v>361</v>
      </c>
      <c r="D69" s="483">
        <v>5</v>
      </c>
      <c r="E69" s="459">
        <f>D69*A69</f>
        <v>25000</v>
      </c>
      <c r="G69" s="399" t="s">
        <v>362</v>
      </c>
      <c r="H69" s="443"/>
      <c r="I69" s="518">
        <v>0.045</v>
      </c>
      <c r="J69" s="203"/>
      <c r="K69" s="254">
        <f>IF(($T$3+$Y$3+$AD$3+$AI$3+$AN$3+$AT$3+$AY$3+$BD$3+$BI$3+$BN$3)&gt;=$E$163,10,100)</f>
        <v>100</v>
      </c>
      <c r="L69" s="254" t="s">
        <v>363</v>
      </c>
      <c r="M69" s="10">
        <f>$EA$84</f>
        <v>785274.5980548114</v>
      </c>
      <c r="N69" s="285"/>
      <c r="O69" s="254">
        <f>($CY$2/305)/2.204622622</f>
        <v>33.656208596553505</v>
      </c>
      <c r="P69" s="90">
        <f t="shared" si="115"/>
        <v>0.0578</v>
      </c>
      <c r="Q69" s="10">
        <f>IF($I$14="yes",P69*((($CY$1*100)-($I$7*$I$10))/2.204622622),0)</f>
        <v>104789.84274426046</v>
      </c>
      <c r="R69" s="81"/>
      <c r="DT69" s="62">
        <v>3</v>
      </c>
      <c r="DU69" s="107">
        <f>($AD$13)*(1-$I$129)</f>
        <v>2626805.2773599997</v>
      </c>
      <c r="DV69" s="107">
        <f>($AD$36)*(1-$I$129)</f>
        <v>2308010.5920774946</v>
      </c>
      <c r="DW69" s="107">
        <f>($AD$44)*(1-$I$129)</f>
        <v>18627.839999999997</v>
      </c>
      <c r="DX69" s="107">
        <f>($AD$45)*(1-$I$129)</f>
        <v>19483.199999999997</v>
      </c>
      <c r="DY69" s="107">
        <f>($AD$46)*(1-$I$129)</f>
        <v>10454.4</v>
      </c>
      <c r="DZ69" s="10">
        <f t="shared" si="124"/>
        <v>340889.0464242425</v>
      </c>
      <c r="EA69" s="79">
        <f t="shared" si="125"/>
        <v>611118.2917067478</v>
      </c>
      <c r="FH69" s="62">
        <v>6</v>
      </c>
      <c r="FI69" s="107">
        <v>0</v>
      </c>
      <c r="FJ69" s="107">
        <v>0</v>
      </c>
      <c r="FK69" s="107">
        <v>0</v>
      </c>
      <c r="FL69" s="107">
        <v>0</v>
      </c>
      <c r="FM69" s="107">
        <v>0</v>
      </c>
      <c r="FN69" s="107">
        <v>0</v>
      </c>
      <c r="FO69" s="107">
        <v>0</v>
      </c>
      <c r="FP69" s="107">
        <v>0</v>
      </c>
      <c r="FQ69" s="107">
        <v>0</v>
      </c>
      <c r="FR69" s="107">
        <v>0</v>
      </c>
      <c r="FS69" s="107">
        <v>0</v>
      </c>
      <c r="FT69" s="107">
        <v>0</v>
      </c>
      <c r="FU69" s="107">
        <v>0</v>
      </c>
      <c r="FV69" s="107">
        <v>0</v>
      </c>
      <c r="FW69" s="107">
        <v>0</v>
      </c>
      <c r="FX69" s="107">
        <v>0</v>
      </c>
      <c r="FY69" s="107">
        <v>0</v>
      </c>
      <c r="FZ69" s="107">
        <v>0</v>
      </c>
      <c r="GA69" s="107">
        <v>0</v>
      </c>
      <c r="GB69" s="107">
        <v>0</v>
      </c>
      <c r="GC69" s="107">
        <v>0</v>
      </c>
      <c r="GD69" s="107">
        <v>0</v>
      </c>
      <c r="GE69" s="107">
        <v>0</v>
      </c>
      <c r="GF69" s="107">
        <v>0</v>
      </c>
      <c r="GG69" s="107">
        <v>0</v>
      </c>
      <c r="GH69" s="107">
        <v>0</v>
      </c>
      <c r="GI69" s="107">
        <v>0</v>
      </c>
      <c r="GJ69" s="107">
        <v>0</v>
      </c>
      <c r="GK69" s="107">
        <v>0</v>
      </c>
      <c r="GL69" s="107">
        <v>0</v>
      </c>
      <c r="GM69" s="107">
        <v>0</v>
      </c>
      <c r="GN69" s="107">
        <v>0</v>
      </c>
      <c r="GO69" s="107">
        <v>0</v>
      </c>
      <c r="GP69" s="107">
        <v>0</v>
      </c>
      <c r="GQ69" s="107">
        <v>0</v>
      </c>
      <c r="GR69" s="107">
        <v>0</v>
      </c>
      <c r="GS69" s="107">
        <v>0</v>
      </c>
      <c r="GT69" s="107">
        <v>0</v>
      </c>
      <c r="GU69" s="107">
        <v>0</v>
      </c>
      <c r="GV69" s="107">
        <v>0</v>
      </c>
      <c r="GW69" s="107">
        <v>0</v>
      </c>
      <c r="GX69" s="107">
        <v>0</v>
      </c>
      <c r="GY69" s="107">
        <v>0</v>
      </c>
      <c r="GZ69" s="107">
        <v>0</v>
      </c>
      <c r="HA69" s="107">
        <v>0</v>
      </c>
      <c r="HB69" s="107">
        <v>0</v>
      </c>
      <c r="HC69" s="107">
        <v>0</v>
      </c>
      <c r="HD69" s="107">
        <v>0</v>
      </c>
      <c r="HE69" s="107">
        <v>0</v>
      </c>
      <c r="HF69" s="107">
        <v>0</v>
      </c>
      <c r="HG69" s="107">
        <v>0</v>
      </c>
      <c r="HH69" s="107">
        <v>0</v>
      </c>
      <c r="HI69" s="107">
        <v>0</v>
      </c>
      <c r="HJ69" s="107">
        <v>0</v>
      </c>
      <c r="HK69" s="107">
        <v>0</v>
      </c>
      <c r="HL69" s="107">
        <v>0</v>
      </c>
      <c r="HM69" s="107">
        <v>0</v>
      </c>
      <c r="HN69" s="107">
        <v>0</v>
      </c>
      <c r="HO69" s="107">
        <v>0</v>
      </c>
      <c r="HP69" s="107">
        <v>0</v>
      </c>
      <c r="HQ69" s="107">
        <v>0</v>
      </c>
      <c r="HR69" s="107">
        <v>0</v>
      </c>
      <c r="HS69" s="107">
        <v>0</v>
      </c>
      <c r="HT69" s="107">
        <f t="shared" si="119"/>
        <v>472066.6666666667</v>
      </c>
      <c r="HU69" s="107">
        <f t="shared" si="120"/>
        <v>123856.66666666667</v>
      </c>
      <c r="HV69" s="107">
        <f t="shared" si="121"/>
        <v>7020</v>
      </c>
      <c r="HW69" s="383">
        <f t="shared" si="122"/>
        <v>0</v>
      </c>
      <c r="HX69" s="70">
        <f t="shared" si="123"/>
        <v>602943.3333333334</v>
      </c>
    </row>
    <row r="70" spans="1:232" ht="17.25" thickBot="1" thickTop="1">
      <c r="A70" s="13"/>
      <c r="B70" s="418"/>
      <c r="C70" s="425"/>
      <c r="D70" s="376" t="s">
        <v>104</v>
      </c>
      <c r="E70" s="368">
        <f>ROUND(SUM(E66:E69),0)</f>
        <v>81000</v>
      </c>
      <c r="G70" s="54" t="s">
        <v>364</v>
      </c>
      <c r="H70" s="439"/>
      <c r="I70" s="130"/>
      <c r="J70" s="203"/>
      <c r="K70" s="254">
        <f>IF(($T$3+$Y$3+$AD$3+$AI$3+$AN$3+$AT$3+$AY$3+$BD$3+$BI$3+$BN$3+0.5*$BT$3)&gt;=$E$163,10.5,100)</f>
        <v>100</v>
      </c>
      <c r="L70" s="254" t="s">
        <v>365</v>
      </c>
      <c r="M70" s="10">
        <f>$EA$85</f>
        <v>793335.0160303097</v>
      </c>
      <c r="N70" s="285"/>
      <c r="O70" s="254">
        <f>($DD$2/305)/2.204622622</f>
        <v>33.992770682519044</v>
      </c>
      <c r="P70" s="90">
        <f t="shared" si="115"/>
        <v>0.0579</v>
      </c>
      <c r="Q70" s="10">
        <f>IF($I$14="yes",P70*((($DD$1*100)-($I$7*$I$10))/2.204622622),0)</f>
        <v>112103.3618385765</v>
      </c>
      <c r="R70" s="81"/>
      <c r="DT70" s="62">
        <v>4</v>
      </c>
      <c r="DU70" s="107">
        <f>($AI$13)*(1-$I$129)</f>
        <v>2651130.1086335997</v>
      </c>
      <c r="DV70" s="107">
        <f>($AI$36)*(1-$I$129)</f>
        <v>2314132.7628738238</v>
      </c>
      <c r="DW70" s="107">
        <f>($AI$44)*(1-$I$129)</f>
        <v>18627.839999999997</v>
      </c>
      <c r="DX70" s="107">
        <f>($AI$45)*(1-$I$129)</f>
        <v>19483.199999999997</v>
      </c>
      <c r="DY70" s="107">
        <f>($AI$46)*(1-$I$129)</f>
        <v>10454.4</v>
      </c>
      <c r="DZ70" s="10">
        <f t="shared" si="124"/>
        <v>283438.3747878788</v>
      </c>
      <c r="EA70" s="79">
        <f t="shared" si="125"/>
        <v>571870.2805476547</v>
      </c>
      <c r="FH70" s="62">
        <v>7</v>
      </c>
      <c r="FI70" s="107">
        <v>0</v>
      </c>
      <c r="FJ70" s="107">
        <v>0</v>
      </c>
      <c r="FK70" s="107">
        <v>0</v>
      </c>
      <c r="FL70" s="107">
        <v>0</v>
      </c>
      <c r="FM70" s="107">
        <v>0</v>
      </c>
      <c r="FN70" s="107">
        <v>0</v>
      </c>
      <c r="FO70" s="107">
        <v>0</v>
      </c>
      <c r="FP70" s="107">
        <v>0</v>
      </c>
      <c r="FQ70" s="107">
        <v>0</v>
      </c>
      <c r="FR70" s="107">
        <v>0</v>
      </c>
      <c r="FS70" s="107">
        <v>0</v>
      </c>
      <c r="FT70" s="107">
        <v>0</v>
      </c>
      <c r="FU70" s="107">
        <v>0</v>
      </c>
      <c r="FV70" s="107">
        <v>0</v>
      </c>
      <c r="FW70" s="107">
        <v>0</v>
      </c>
      <c r="FX70" s="107">
        <v>0</v>
      </c>
      <c r="FY70" s="107">
        <v>0</v>
      </c>
      <c r="FZ70" s="107">
        <v>0</v>
      </c>
      <c r="GA70" s="107">
        <v>0</v>
      </c>
      <c r="GB70" s="107">
        <v>0</v>
      </c>
      <c r="GC70" s="107">
        <v>0</v>
      </c>
      <c r="GD70" s="107">
        <v>0</v>
      </c>
      <c r="GE70" s="107">
        <v>0</v>
      </c>
      <c r="GF70" s="107">
        <v>0</v>
      </c>
      <c r="GG70" s="107">
        <v>0</v>
      </c>
      <c r="GH70" s="107">
        <v>0</v>
      </c>
      <c r="GI70" s="107">
        <v>0</v>
      </c>
      <c r="GJ70" s="107">
        <v>0</v>
      </c>
      <c r="GK70" s="107">
        <v>0</v>
      </c>
      <c r="GL70" s="107">
        <v>0</v>
      </c>
      <c r="GM70" s="107">
        <v>0</v>
      </c>
      <c r="GN70" s="107">
        <v>0</v>
      </c>
      <c r="GO70" s="107">
        <v>0</v>
      </c>
      <c r="GP70" s="107">
        <v>0</v>
      </c>
      <c r="GQ70" s="107">
        <v>0</v>
      </c>
      <c r="GR70" s="107">
        <v>0</v>
      </c>
      <c r="GS70" s="107">
        <v>0</v>
      </c>
      <c r="GT70" s="107">
        <v>0</v>
      </c>
      <c r="GU70" s="107">
        <v>0</v>
      </c>
      <c r="GV70" s="107">
        <v>0</v>
      </c>
      <c r="GW70" s="107">
        <v>0</v>
      </c>
      <c r="GX70" s="107">
        <v>0</v>
      </c>
      <c r="GY70" s="107">
        <v>0</v>
      </c>
      <c r="GZ70" s="107">
        <v>0</v>
      </c>
      <c r="HA70" s="107">
        <v>0</v>
      </c>
      <c r="HB70" s="107">
        <v>0</v>
      </c>
      <c r="HC70" s="107">
        <v>0</v>
      </c>
      <c r="HD70" s="107">
        <v>0</v>
      </c>
      <c r="HE70" s="107">
        <v>0</v>
      </c>
      <c r="HF70" s="107">
        <v>0</v>
      </c>
      <c r="HG70" s="107">
        <v>0</v>
      </c>
      <c r="HH70" s="107">
        <v>0</v>
      </c>
      <c r="HI70" s="107">
        <v>0</v>
      </c>
      <c r="HJ70" s="107">
        <v>0</v>
      </c>
      <c r="HK70" s="107">
        <v>0</v>
      </c>
      <c r="HL70" s="107">
        <v>0</v>
      </c>
      <c r="HM70" s="107">
        <v>0</v>
      </c>
      <c r="HN70" s="107">
        <v>0</v>
      </c>
      <c r="HO70" s="107">
        <v>0</v>
      </c>
      <c r="HP70" s="107">
        <v>0</v>
      </c>
      <c r="HQ70" s="107">
        <v>0</v>
      </c>
      <c r="HR70" s="107">
        <v>0</v>
      </c>
      <c r="HS70" s="107">
        <v>0</v>
      </c>
      <c r="HT70" s="107">
        <f t="shared" si="119"/>
        <v>472066.6666666667</v>
      </c>
      <c r="HU70" s="107">
        <f t="shared" si="120"/>
        <v>123856.66666666667</v>
      </c>
      <c r="HV70" s="107">
        <f t="shared" si="121"/>
        <v>7020</v>
      </c>
      <c r="HW70" s="383">
        <f t="shared" si="122"/>
        <v>0</v>
      </c>
      <c r="HX70" s="70">
        <f t="shared" si="123"/>
        <v>602943.3333333334</v>
      </c>
    </row>
    <row r="71" spans="1:232" ht="17.25" thickBot="1" thickTop="1">
      <c r="A71" s="1" t="s">
        <v>366</v>
      </c>
      <c r="B71" s="418"/>
      <c r="C71" s="425"/>
      <c r="D71" s="365"/>
      <c r="E71" s="364"/>
      <c r="G71" s="53" t="s">
        <v>367</v>
      </c>
      <c r="H71" s="440"/>
      <c r="I71" s="121"/>
      <c r="J71" s="203"/>
      <c r="K71" s="254">
        <f>IF(($T$3+$Y$3+$AD$3+$AI$3+$AN$3+$AT$3+$AY$3+$BD$3+$BI$3+$BN$3+$BT$3)&gt;=$E$163,11,100)</f>
        <v>100</v>
      </c>
      <c r="L71" s="254" t="s">
        <v>368</v>
      </c>
      <c r="M71" s="10">
        <f>$EA$86+$T$121+$T$129+$T$136</f>
        <v>2634175.9854231677</v>
      </c>
      <c r="N71" s="285"/>
      <c r="O71" s="254">
        <f>($DI$2/305)/2.204622622</f>
        <v>34.33269838934423</v>
      </c>
      <c r="P71" s="90">
        <f t="shared" si="115"/>
        <v>0.058</v>
      </c>
      <c r="Q71" s="10">
        <f>IF($I$14="yes",P71*((($DI$1*100)-($I$7*$I$10))/2.204622622),0)</f>
        <v>119512.96267719391</v>
      </c>
      <c r="R71" s="81"/>
      <c r="DT71" s="62">
        <v>5</v>
      </c>
      <c r="DU71" s="107">
        <f>($AN$13)*(1-$I$129)</f>
        <v>2675698.1882199356</v>
      </c>
      <c r="DV71" s="107">
        <f>($AN$36)*(1-$I$129)</f>
        <v>2320330.2323310855</v>
      </c>
      <c r="DW71" s="107">
        <f>($AN$44)*(1-$I$129)</f>
        <v>18627.839999999997</v>
      </c>
      <c r="DX71" s="107">
        <f>($AN$45)*(1-$I$129)</f>
        <v>19483.199999999997</v>
      </c>
      <c r="DY71" s="107">
        <f>($AN$46)*(1-$I$129)</f>
        <v>10454.4</v>
      </c>
      <c r="DZ71" s="10">
        <f t="shared" si="124"/>
        <v>274395.20315151516</v>
      </c>
      <c r="EA71" s="79">
        <f t="shared" si="125"/>
        <v>581197.7190403654</v>
      </c>
      <c r="FH71" s="62">
        <v>8</v>
      </c>
      <c r="FI71" s="107">
        <v>0</v>
      </c>
      <c r="FJ71" s="107">
        <v>0</v>
      </c>
      <c r="FK71" s="107">
        <v>0</v>
      </c>
      <c r="FL71" s="107">
        <v>0</v>
      </c>
      <c r="FM71" s="107">
        <v>0</v>
      </c>
      <c r="FN71" s="107">
        <v>0</v>
      </c>
      <c r="FO71" s="107">
        <v>0</v>
      </c>
      <c r="FP71" s="107">
        <v>0</v>
      </c>
      <c r="FQ71" s="107">
        <v>0</v>
      </c>
      <c r="FR71" s="107">
        <v>0</v>
      </c>
      <c r="FS71" s="107">
        <v>0</v>
      </c>
      <c r="FT71" s="107">
        <v>0</v>
      </c>
      <c r="FU71" s="107">
        <v>0</v>
      </c>
      <c r="FV71" s="107">
        <v>0</v>
      </c>
      <c r="FW71" s="107">
        <v>0</v>
      </c>
      <c r="FX71" s="107">
        <v>0</v>
      </c>
      <c r="FY71" s="107">
        <v>0</v>
      </c>
      <c r="FZ71" s="107">
        <v>0</v>
      </c>
      <c r="GA71" s="107">
        <v>0</v>
      </c>
      <c r="GB71" s="107">
        <v>0</v>
      </c>
      <c r="GC71" s="107">
        <v>0</v>
      </c>
      <c r="GD71" s="107">
        <v>0</v>
      </c>
      <c r="GE71" s="107">
        <v>0</v>
      </c>
      <c r="GF71" s="107">
        <v>0</v>
      </c>
      <c r="GG71" s="107">
        <v>0</v>
      </c>
      <c r="GH71" s="107">
        <v>0</v>
      </c>
      <c r="GI71" s="107">
        <v>0</v>
      </c>
      <c r="GJ71" s="107">
        <v>0</v>
      </c>
      <c r="GK71" s="107">
        <v>0</v>
      </c>
      <c r="GL71" s="107">
        <v>0</v>
      </c>
      <c r="GM71" s="107">
        <v>0</v>
      </c>
      <c r="GN71" s="107">
        <v>0</v>
      </c>
      <c r="GO71" s="107">
        <v>0</v>
      </c>
      <c r="GP71" s="107">
        <v>0</v>
      </c>
      <c r="GQ71" s="107">
        <v>0</v>
      </c>
      <c r="GR71" s="107">
        <v>0</v>
      </c>
      <c r="GS71" s="107">
        <v>0</v>
      </c>
      <c r="GT71" s="107">
        <v>0</v>
      </c>
      <c r="GU71" s="107">
        <v>0</v>
      </c>
      <c r="GV71" s="107">
        <v>0</v>
      </c>
      <c r="GW71" s="107">
        <v>0</v>
      </c>
      <c r="GX71" s="107">
        <v>0</v>
      </c>
      <c r="GY71" s="107">
        <v>0</v>
      </c>
      <c r="GZ71" s="107">
        <v>0</v>
      </c>
      <c r="HA71" s="107">
        <v>0</v>
      </c>
      <c r="HB71" s="107">
        <v>0</v>
      </c>
      <c r="HC71" s="107">
        <v>0</v>
      </c>
      <c r="HD71" s="107">
        <v>0</v>
      </c>
      <c r="HE71" s="107">
        <v>0</v>
      </c>
      <c r="HF71" s="107">
        <v>0</v>
      </c>
      <c r="HG71" s="107">
        <v>0</v>
      </c>
      <c r="HH71" s="107">
        <v>0</v>
      </c>
      <c r="HI71" s="107">
        <v>0</v>
      </c>
      <c r="HJ71" s="107">
        <v>0</v>
      </c>
      <c r="HK71" s="107">
        <v>0</v>
      </c>
      <c r="HL71" s="107">
        <v>0</v>
      </c>
      <c r="HM71" s="107">
        <v>0</v>
      </c>
      <c r="HN71" s="107">
        <v>0</v>
      </c>
      <c r="HO71" s="107">
        <v>0</v>
      </c>
      <c r="HP71" s="107">
        <v>0</v>
      </c>
      <c r="HQ71" s="107">
        <v>0</v>
      </c>
      <c r="HR71" s="107">
        <v>0</v>
      </c>
      <c r="HS71" s="107">
        <v>0</v>
      </c>
      <c r="HT71" s="107">
        <f t="shared" si="119"/>
        <v>472066.6666666667</v>
      </c>
      <c r="HU71" s="107">
        <f t="shared" si="120"/>
        <v>123856.66666666667</v>
      </c>
      <c r="HV71" s="107">
        <f t="shared" si="121"/>
        <v>7020</v>
      </c>
      <c r="HW71" s="383">
        <f t="shared" si="122"/>
        <v>0</v>
      </c>
      <c r="HX71" s="70">
        <f t="shared" si="123"/>
        <v>602943.3333333334</v>
      </c>
    </row>
    <row r="72" spans="1:232" ht="16.5" thickTop="1">
      <c r="A72" s="6"/>
      <c r="B72" s="419"/>
      <c r="C72" s="423"/>
      <c r="D72" s="373"/>
      <c r="E72" s="366" t="s">
        <v>19</v>
      </c>
      <c r="G72" s="394" t="s">
        <v>369</v>
      </c>
      <c r="H72" s="440"/>
      <c r="I72" s="517">
        <v>2.05</v>
      </c>
      <c r="J72" s="203"/>
      <c r="K72" s="254">
        <f>IF(($T$3+$Y$3+$AD$3+$AI$3+$AN$3+$AT$3+$AY$3+$BD$3+$BI$3+$BN$3+$BT$3+0.5*$BY$3)&gt;=$E$163,11.5,100)</f>
        <v>100</v>
      </c>
      <c r="L72" s="298"/>
      <c r="M72" s="297"/>
      <c r="N72" s="287"/>
      <c r="O72" s="254">
        <f>($DN$2/305)/2.204622622</f>
        <v>34.67602537323767</v>
      </c>
      <c r="P72" s="90">
        <f t="shared" si="115"/>
        <v>0.0581</v>
      </c>
      <c r="Q72" s="10">
        <f>IF($I$14="yes",P72*((($DN$1*100)-($I$7*$I$10))/2.204622622),0)</f>
        <v>127019.7304910965</v>
      </c>
      <c r="R72" s="81"/>
      <c r="DT72" s="62">
        <v>6</v>
      </c>
      <c r="DU72" s="107">
        <f>($AT$13)*(1-$I$129)</f>
        <v>2700511.948602135</v>
      </c>
      <c r="DV72" s="107">
        <f>($AT$36)*(1-$I$129)</f>
        <v>2326603.824871104</v>
      </c>
      <c r="DW72" s="107">
        <f>($AT$44)*(1-$I$129)</f>
        <v>18627.839999999997</v>
      </c>
      <c r="DX72" s="107">
        <f>($AT$45)*(1-$I$129)</f>
        <v>19483.199999999997</v>
      </c>
      <c r="DY72" s="107">
        <f>($AT$46)*(1-$I$129)</f>
        <v>10454.4</v>
      </c>
      <c r="DZ72" s="10">
        <f t="shared" si="124"/>
        <v>300857.3815151516</v>
      </c>
      <c r="EA72" s="79">
        <f t="shared" si="125"/>
        <v>626200.065246182</v>
      </c>
      <c r="FH72" s="62">
        <v>9</v>
      </c>
      <c r="FI72" s="107">
        <v>0</v>
      </c>
      <c r="FJ72" s="107">
        <v>0</v>
      </c>
      <c r="FK72" s="107">
        <v>0</v>
      </c>
      <c r="FL72" s="107">
        <v>0</v>
      </c>
      <c r="FM72" s="107">
        <v>0</v>
      </c>
      <c r="FN72" s="107">
        <v>0</v>
      </c>
      <c r="FO72" s="107">
        <v>0</v>
      </c>
      <c r="FP72" s="107">
        <v>0</v>
      </c>
      <c r="FQ72" s="107">
        <v>0</v>
      </c>
      <c r="FR72" s="107">
        <v>0</v>
      </c>
      <c r="FS72" s="107">
        <v>0</v>
      </c>
      <c r="FT72" s="107">
        <v>0</v>
      </c>
      <c r="FU72" s="107">
        <v>0</v>
      </c>
      <c r="FV72" s="107">
        <v>0</v>
      </c>
      <c r="FW72" s="107">
        <v>0</v>
      </c>
      <c r="FX72" s="107">
        <v>0</v>
      </c>
      <c r="FY72" s="107">
        <v>0</v>
      </c>
      <c r="FZ72" s="107">
        <v>0</v>
      </c>
      <c r="GA72" s="107">
        <v>0</v>
      </c>
      <c r="GB72" s="107">
        <v>0</v>
      </c>
      <c r="GC72" s="107">
        <v>0</v>
      </c>
      <c r="GD72" s="107">
        <v>0</v>
      </c>
      <c r="GE72" s="107">
        <v>0</v>
      </c>
      <c r="GF72" s="107">
        <v>0</v>
      </c>
      <c r="GG72" s="107">
        <v>0</v>
      </c>
      <c r="GH72" s="107">
        <v>0</v>
      </c>
      <c r="GI72" s="107">
        <v>0</v>
      </c>
      <c r="GJ72" s="107">
        <v>0</v>
      </c>
      <c r="GK72" s="107">
        <v>0</v>
      </c>
      <c r="GL72" s="107">
        <v>0</v>
      </c>
      <c r="GM72" s="107">
        <v>0</v>
      </c>
      <c r="GN72" s="107">
        <v>0</v>
      </c>
      <c r="GO72" s="107">
        <v>0</v>
      </c>
      <c r="GP72" s="107">
        <v>0</v>
      </c>
      <c r="GQ72" s="107">
        <v>0</v>
      </c>
      <c r="GR72" s="107">
        <v>0</v>
      </c>
      <c r="GS72" s="107">
        <v>0</v>
      </c>
      <c r="GT72" s="107">
        <v>0</v>
      </c>
      <c r="GU72" s="107">
        <v>0</v>
      </c>
      <c r="GV72" s="107">
        <v>0</v>
      </c>
      <c r="GW72" s="107">
        <v>0</v>
      </c>
      <c r="GX72" s="107">
        <v>0</v>
      </c>
      <c r="GY72" s="107">
        <v>0</v>
      </c>
      <c r="GZ72" s="107">
        <v>0</v>
      </c>
      <c r="HA72" s="107">
        <v>0</v>
      </c>
      <c r="HB72" s="107">
        <v>0</v>
      </c>
      <c r="HC72" s="107">
        <v>0</v>
      </c>
      <c r="HD72" s="107">
        <v>0</v>
      </c>
      <c r="HE72" s="107">
        <v>0</v>
      </c>
      <c r="HF72" s="107">
        <v>0</v>
      </c>
      <c r="HG72" s="107">
        <v>0</v>
      </c>
      <c r="HH72" s="107">
        <v>0</v>
      </c>
      <c r="HI72" s="107">
        <v>0</v>
      </c>
      <c r="HJ72" s="107">
        <v>0</v>
      </c>
      <c r="HK72" s="107">
        <v>0</v>
      </c>
      <c r="HL72" s="107">
        <v>0</v>
      </c>
      <c r="HM72" s="107">
        <v>0</v>
      </c>
      <c r="HN72" s="107">
        <v>0</v>
      </c>
      <c r="HO72" s="107">
        <v>0</v>
      </c>
      <c r="HP72" s="107">
        <v>0</v>
      </c>
      <c r="HQ72" s="107">
        <v>0</v>
      </c>
      <c r="HR72" s="107">
        <v>0</v>
      </c>
      <c r="HS72" s="107">
        <v>0</v>
      </c>
      <c r="HT72" s="107">
        <f t="shared" si="119"/>
        <v>472066.6666666667</v>
      </c>
      <c r="HU72" s="107">
        <f t="shared" si="120"/>
        <v>123856.66666666667</v>
      </c>
      <c r="HV72" s="107">
        <f t="shared" si="121"/>
        <v>6480</v>
      </c>
      <c r="HW72" s="383">
        <f t="shared" si="122"/>
        <v>0</v>
      </c>
      <c r="HX72" s="70">
        <f t="shared" si="123"/>
        <v>602403.3333333334</v>
      </c>
    </row>
    <row r="73" spans="1:232" ht="15.75">
      <c r="A73" s="9"/>
      <c r="B73" s="420"/>
      <c r="C73" s="424"/>
      <c r="D73" s="333" t="s">
        <v>51</v>
      </c>
      <c r="E73" s="132" t="s">
        <v>52</v>
      </c>
      <c r="G73" s="394" t="s">
        <v>370</v>
      </c>
      <c r="H73" s="440"/>
      <c r="I73" s="517">
        <v>1.1</v>
      </c>
      <c r="J73" s="203"/>
      <c r="K73" s="254">
        <f>IF(($T$3+$Y$3+$AD$3+$AI$3+$AN$3+$AT$3+$AY$3+$BD$3+$BI$3+$BN$3+$BT$3+$BY$3)&gt;=$E$163,12,100)</f>
        <v>12</v>
      </c>
      <c r="L73" s="301" t="s">
        <v>371</v>
      </c>
      <c r="M73" s="113"/>
      <c r="N73" s="113"/>
      <c r="O73" s="277" t="s">
        <v>372</v>
      </c>
      <c r="P73" s="247"/>
      <c r="Q73" s="278"/>
      <c r="R73" s="118"/>
      <c r="DT73" s="62">
        <v>7</v>
      </c>
      <c r="DU73" s="107">
        <f>($AY$13)*(1-$I$129)</f>
        <v>2725573.846588156</v>
      </c>
      <c r="DV73" s="107">
        <f>($AY$36)*(1-$I$129)</f>
        <v>2332911.7192990803</v>
      </c>
      <c r="DW73" s="107">
        <f>($AY$44)*(1-$I$129)</f>
        <v>18627.839999999997</v>
      </c>
      <c r="DX73" s="107">
        <f>($AY$45)*(1-$I$129)</f>
        <v>19483.199999999997</v>
      </c>
      <c r="DY73" s="107">
        <f>($AY$46)*(1-$I$129)</f>
        <v>10454.4</v>
      </c>
      <c r="DZ73" s="10">
        <f t="shared" si="124"/>
        <v>282986.9598787879</v>
      </c>
      <c r="EA73" s="79">
        <f t="shared" si="125"/>
        <v>627083.6471678638</v>
      </c>
      <c r="FH73" s="62">
        <v>10</v>
      </c>
      <c r="FI73" s="107">
        <v>0</v>
      </c>
      <c r="FJ73" s="107">
        <v>0</v>
      </c>
      <c r="FK73" s="107">
        <v>0</v>
      </c>
      <c r="FL73" s="107">
        <v>0</v>
      </c>
      <c r="FM73" s="107">
        <v>0</v>
      </c>
      <c r="FN73" s="107">
        <v>0</v>
      </c>
      <c r="FO73" s="107">
        <v>0</v>
      </c>
      <c r="FP73" s="107">
        <v>0</v>
      </c>
      <c r="FQ73" s="107">
        <v>0</v>
      </c>
      <c r="FR73" s="107">
        <v>0</v>
      </c>
      <c r="FS73" s="107">
        <v>0</v>
      </c>
      <c r="FT73" s="107">
        <v>0</v>
      </c>
      <c r="FU73" s="107">
        <v>0</v>
      </c>
      <c r="FV73" s="107">
        <v>0</v>
      </c>
      <c r="FW73" s="107">
        <v>0</v>
      </c>
      <c r="FX73" s="107">
        <v>0</v>
      </c>
      <c r="FY73" s="107">
        <v>0</v>
      </c>
      <c r="FZ73" s="107">
        <v>0</v>
      </c>
      <c r="GA73" s="107">
        <v>0</v>
      </c>
      <c r="GB73" s="107">
        <v>0</v>
      </c>
      <c r="GC73" s="107">
        <v>0</v>
      </c>
      <c r="GD73" s="107">
        <v>0</v>
      </c>
      <c r="GE73" s="107">
        <v>0</v>
      </c>
      <c r="GF73" s="107">
        <v>0</v>
      </c>
      <c r="GG73" s="107">
        <v>0</v>
      </c>
      <c r="GH73" s="107">
        <v>0</v>
      </c>
      <c r="GI73" s="107">
        <v>0</v>
      </c>
      <c r="GJ73" s="107">
        <v>0</v>
      </c>
      <c r="GK73" s="107">
        <v>0</v>
      </c>
      <c r="GL73" s="107">
        <v>0</v>
      </c>
      <c r="GM73" s="107">
        <v>0</v>
      </c>
      <c r="GN73" s="107">
        <v>0</v>
      </c>
      <c r="GO73" s="107">
        <v>0</v>
      </c>
      <c r="GP73" s="107">
        <v>0</v>
      </c>
      <c r="GQ73" s="107">
        <v>0</v>
      </c>
      <c r="GR73" s="107">
        <v>0</v>
      </c>
      <c r="GS73" s="107">
        <v>0</v>
      </c>
      <c r="GT73" s="107">
        <v>0</v>
      </c>
      <c r="GU73" s="107">
        <v>0</v>
      </c>
      <c r="GV73" s="107">
        <v>0</v>
      </c>
      <c r="GW73" s="107">
        <v>0</v>
      </c>
      <c r="GX73" s="107">
        <v>0</v>
      </c>
      <c r="GY73" s="107">
        <v>0</v>
      </c>
      <c r="GZ73" s="107">
        <v>0</v>
      </c>
      <c r="HA73" s="107">
        <v>0</v>
      </c>
      <c r="HB73" s="107">
        <v>0</v>
      </c>
      <c r="HC73" s="107">
        <v>0</v>
      </c>
      <c r="HD73" s="107">
        <v>0</v>
      </c>
      <c r="HE73" s="107">
        <v>0</v>
      </c>
      <c r="HF73" s="107">
        <v>0</v>
      </c>
      <c r="HG73" s="107">
        <v>0</v>
      </c>
      <c r="HH73" s="107">
        <v>0</v>
      </c>
      <c r="HI73" s="107">
        <v>0</v>
      </c>
      <c r="HJ73" s="107">
        <v>0</v>
      </c>
      <c r="HK73" s="107">
        <v>0</v>
      </c>
      <c r="HL73" s="107">
        <v>0</v>
      </c>
      <c r="HM73" s="107">
        <v>0</v>
      </c>
      <c r="HN73" s="107">
        <v>0</v>
      </c>
      <c r="HO73" s="107">
        <v>0</v>
      </c>
      <c r="HP73" s="107">
        <v>0</v>
      </c>
      <c r="HQ73" s="107">
        <v>0</v>
      </c>
      <c r="HR73" s="107">
        <v>0</v>
      </c>
      <c r="HS73" s="107">
        <v>0</v>
      </c>
      <c r="HT73" s="107">
        <f t="shared" si="119"/>
        <v>472066.6666666667</v>
      </c>
      <c r="HU73" s="107">
        <f t="shared" si="120"/>
        <v>123856.66666666667</v>
      </c>
      <c r="HV73" s="107">
        <f t="shared" si="121"/>
        <v>6480</v>
      </c>
      <c r="HW73" s="383">
        <f t="shared" si="122"/>
        <v>0</v>
      </c>
      <c r="HX73" s="70">
        <f t="shared" si="123"/>
        <v>602403.3333333334</v>
      </c>
    </row>
    <row r="74" spans="1:232" ht="16.5" thickBot="1">
      <c r="A74" s="11" t="s">
        <v>63</v>
      </c>
      <c r="B74" s="421" t="s">
        <v>64</v>
      </c>
      <c r="C74" s="421" t="s">
        <v>65</v>
      </c>
      <c r="D74" s="374" t="s">
        <v>66</v>
      </c>
      <c r="E74" s="295" t="s">
        <v>66</v>
      </c>
      <c r="G74" s="399" t="s">
        <v>373</v>
      </c>
      <c r="H74" s="443"/>
      <c r="I74" s="519">
        <v>1.96</v>
      </c>
      <c r="J74" s="203"/>
      <c r="K74" s="254">
        <f>IF(($T$3+$Y$3+$AD$3+$AI$3+$AN$3+$AT$3+$AY$3+$BD$3+$BI$3+$BN$3+$BT$3+$BY$3+0.5*$CD$3)&gt;=$E$163,12.5,100)</f>
        <v>12.5</v>
      </c>
      <c r="L74" s="259"/>
      <c r="M74" s="113"/>
      <c r="N74" s="113"/>
      <c r="O74" s="270" t="s">
        <v>374</v>
      </c>
      <c r="P74" s="113"/>
      <c r="Q74" s="118"/>
      <c r="R74" s="118"/>
      <c r="DT74" s="62">
        <v>8</v>
      </c>
      <c r="DU74" s="107">
        <f>($BD$13)*(1-$I$129)</f>
        <v>2750886.363554038</v>
      </c>
      <c r="DV74" s="107">
        <f>($BD$36)*(1-$I$129)</f>
        <v>2339332.7072238117</v>
      </c>
      <c r="DW74" s="107">
        <f>($BD$44)*(1-$I$129)</f>
        <v>18627.839999999997</v>
      </c>
      <c r="DX74" s="107">
        <f>($BD$45)*(1-$I$129)</f>
        <v>19483.199999999997</v>
      </c>
      <c r="DY74" s="107">
        <f>($BD$46)*(1-$I$129)</f>
        <v>10454.4</v>
      </c>
      <c r="DZ74" s="10">
        <f t="shared" si="124"/>
        <v>265116.53824242426</v>
      </c>
      <c r="EA74" s="79">
        <f t="shared" si="125"/>
        <v>628104.7545726509</v>
      </c>
      <c r="FH74" s="62">
        <v>11</v>
      </c>
      <c r="FI74" s="107">
        <v>0</v>
      </c>
      <c r="FJ74" s="107">
        <v>0</v>
      </c>
      <c r="FK74" s="107">
        <v>0</v>
      </c>
      <c r="FL74" s="107">
        <v>0</v>
      </c>
      <c r="FM74" s="107">
        <v>0</v>
      </c>
      <c r="FN74" s="107">
        <v>0</v>
      </c>
      <c r="FO74" s="107">
        <v>0</v>
      </c>
      <c r="FP74" s="107">
        <v>0</v>
      </c>
      <c r="FQ74" s="107">
        <v>0</v>
      </c>
      <c r="FR74" s="107">
        <v>0</v>
      </c>
      <c r="FS74" s="107">
        <v>0</v>
      </c>
      <c r="FT74" s="107">
        <v>0</v>
      </c>
      <c r="FU74" s="107">
        <v>0</v>
      </c>
      <c r="FV74" s="107">
        <v>0</v>
      </c>
      <c r="FW74" s="107">
        <v>0</v>
      </c>
      <c r="FX74" s="107">
        <v>0</v>
      </c>
      <c r="FY74" s="107">
        <v>0</v>
      </c>
      <c r="FZ74" s="107">
        <v>0</v>
      </c>
      <c r="GA74" s="107">
        <v>0</v>
      </c>
      <c r="GB74" s="107">
        <v>0</v>
      </c>
      <c r="GC74" s="107">
        <v>0</v>
      </c>
      <c r="GD74" s="107">
        <v>0</v>
      </c>
      <c r="GE74" s="107">
        <v>0</v>
      </c>
      <c r="GF74" s="107">
        <v>0</v>
      </c>
      <c r="GG74" s="107">
        <v>0</v>
      </c>
      <c r="GH74" s="107">
        <v>0</v>
      </c>
      <c r="GI74" s="107">
        <v>0</v>
      </c>
      <c r="GJ74" s="107">
        <v>0</v>
      </c>
      <c r="GK74" s="107">
        <v>0</v>
      </c>
      <c r="GL74" s="107">
        <v>0</v>
      </c>
      <c r="GM74" s="107">
        <v>0</v>
      </c>
      <c r="GN74" s="107">
        <v>0</v>
      </c>
      <c r="GO74" s="107">
        <v>0</v>
      </c>
      <c r="GP74" s="107">
        <v>0</v>
      </c>
      <c r="GQ74" s="107">
        <v>0</v>
      </c>
      <c r="GR74" s="107">
        <v>0</v>
      </c>
      <c r="GS74" s="107">
        <v>0</v>
      </c>
      <c r="GT74" s="107">
        <v>0</v>
      </c>
      <c r="GU74" s="107">
        <v>0</v>
      </c>
      <c r="GV74" s="107">
        <v>0</v>
      </c>
      <c r="GW74" s="107">
        <v>0</v>
      </c>
      <c r="GX74" s="107">
        <v>0</v>
      </c>
      <c r="GY74" s="107">
        <v>0</v>
      </c>
      <c r="GZ74" s="107">
        <v>0</v>
      </c>
      <c r="HA74" s="107">
        <v>0</v>
      </c>
      <c r="HB74" s="107">
        <v>0</v>
      </c>
      <c r="HC74" s="107">
        <v>0</v>
      </c>
      <c r="HD74" s="107">
        <v>0</v>
      </c>
      <c r="HE74" s="107">
        <v>0</v>
      </c>
      <c r="HF74" s="107">
        <v>0</v>
      </c>
      <c r="HG74" s="107">
        <v>0</v>
      </c>
      <c r="HH74" s="107">
        <v>0</v>
      </c>
      <c r="HI74" s="107">
        <v>0</v>
      </c>
      <c r="HJ74" s="107">
        <v>0</v>
      </c>
      <c r="HK74" s="107">
        <v>0</v>
      </c>
      <c r="HL74" s="107">
        <v>0</v>
      </c>
      <c r="HM74" s="107">
        <v>0</v>
      </c>
      <c r="HN74" s="107">
        <v>0</v>
      </c>
      <c r="HO74" s="107">
        <v>0</v>
      </c>
      <c r="HP74" s="107">
        <v>0</v>
      </c>
      <c r="HQ74" s="107">
        <v>0</v>
      </c>
      <c r="HR74" s="107">
        <v>0</v>
      </c>
      <c r="HS74" s="107">
        <v>0</v>
      </c>
      <c r="HT74" s="107">
        <f t="shared" si="119"/>
        <v>472066.6666666667</v>
      </c>
      <c r="HU74" s="107">
        <f t="shared" si="120"/>
        <v>123856.66666666667</v>
      </c>
      <c r="HV74" s="107">
        <f t="shared" si="121"/>
        <v>6480</v>
      </c>
      <c r="HW74" s="383">
        <f t="shared" si="122"/>
        <v>0</v>
      </c>
      <c r="HX74" s="70">
        <f t="shared" si="123"/>
        <v>602403.3333333334</v>
      </c>
    </row>
    <row r="75" spans="1:232" ht="17.25" thickBot="1" thickTop="1">
      <c r="A75" s="479">
        <v>1</v>
      </c>
      <c r="B75" s="416" t="s">
        <v>375</v>
      </c>
      <c r="C75" s="411" t="s">
        <v>209</v>
      </c>
      <c r="D75" s="484">
        <v>20000</v>
      </c>
      <c r="E75" s="367">
        <f>A75*D75</f>
        <v>20000</v>
      </c>
      <c r="G75" s="23" t="s">
        <v>376</v>
      </c>
      <c r="H75" s="439"/>
      <c r="I75" s="136"/>
      <c r="J75" s="203"/>
      <c r="K75" s="254">
        <f>IF(($T$3+$Y$3+$AD$3+$AI$3+$AN$3+$AT$3+$AY$3+$BD$3+$BI$3+$BN$3+$BT$3+$BY$3+$CD$3)&gt;=$E$163,13,100)</f>
        <v>13</v>
      </c>
      <c r="L75" s="260"/>
      <c r="M75" s="118"/>
      <c r="N75" s="118"/>
      <c r="O75" s="270" t="s">
        <v>377</v>
      </c>
      <c r="P75" s="113"/>
      <c r="Q75" s="118"/>
      <c r="R75" s="118"/>
      <c r="DT75" s="62">
        <v>9</v>
      </c>
      <c r="DU75" s="107">
        <f>($BI$13)*(1-$I$129)</f>
        <v>2776452.005689578</v>
      </c>
      <c r="DV75" s="107">
        <f>($BI$36)*(1-$I$129)</f>
        <v>2345832.2720363764</v>
      </c>
      <c r="DW75" s="107">
        <f>($BI$44)*(1-$I$129)</f>
        <v>18627.839999999997</v>
      </c>
      <c r="DX75" s="107">
        <f>($BI$45)*(1-$I$129)</f>
        <v>19483.199999999997</v>
      </c>
      <c r="DY75" s="107">
        <f>($BI$46)*(1-$I$129)</f>
        <v>10454.4</v>
      </c>
      <c r="DZ75" s="10">
        <f t="shared" si="124"/>
        <v>247062.51660606064</v>
      </c>
      <c r="EA75" s="79">
        <f t="shared" si="125"/>
        <v>629116.8102592626</v>
      </c>
      <c r="FH75" s="62">
        <v>12</v>
      </c>
      <c r="FI75" s="107">
        <f>ROUND($I$7*($I$17+$I$20),0)</f>
        <v>408</v>
      </c>
      <c r="FJ75" s="107">
        <f>IF($H$120="yes",FI75*$FR$38,0)</f>
        <v>0</v>
      </c>
      <c r="FK75" s="107">
        <f>IF($H$120="no",FI75*$FS$38,0)</f>
        <v>297840</v>
      </c>
      <c r="FL75" s="107">
        <f>IF($H$120="yes",ROUND($I$17*FI75,0)*($FR$39+$FR$40),ROUND($I$17*FI75,0)*($FS$39+$FS$40))</f>
        <v>98550</v>
      </c>
      <c r="FM75" s="107">
        <f>IF($H$120="yes",ROUND($I$20*FI75,0)*($FR$39+$FR$40),ROUND($I$20*FI75,0)*($FS$39+$FS$40))</f>
        <v>2920</v>
      </c>
      <c r="FN75" s="107">
        <f aca="true" t="shared" si="126" ref="FN75:FN83">IF($H$117="no",ROUND($I$20*FI75,0)*($I$18*$I$19),0)</f>
        <v>2160</v>
      </c>
      <c r="FO75" s="107">
        <f aca="true" t="shared" si="127" ref="FO75:FO83">IF($H$117="yes",ROUND(FI75*$I$17,0)*$I$18*$I$19,0)</f>
        <v>0</v>
      </c>
      <c r="FP75" s="107">
        <v>0</v>
      </c>
      <c r="FQ75" s="107">
        <v>0</v>
      </c>
      <c r="FR75" s="107">
        <v>0</v>
      </c>
      <c r="FS75" s="107">
        <v>0</v>
      </c>
      <c r="FT75" s="107">
        <v>0</v>
      </c>
      <c r="FU75" s="107">
        <v>0</v>
      </c>
      <c r="FV75" s="107">
        <v>0</v>
      </c>
      <c r="FW75" s="107">
        <v>0</v>
      </c>
      <c r="FX75" s="107">
        <v>0</v>
      </c>
      <c r="FY75" s="107">
        <v>0</v>
      </c>
      <c r="FZ75" s="107">
        <v>0</v>
      </c>
      <c r="GA75" s="107">
        <v>0</v>
      </c>
      <c r="GB75" s="107">
        <v>0</v>
      </c>
      <c r="GC75" s="107">
        <v>0</v>
      </c>
      <c r="GD75" s="107">
        <v>0</v>
      </c>
      <c r="GE75" s="107">
        <v>0</v>
      </c>
      <c r="GF75" s="107">
        <v>0</v>
      </c>
      <c r="GG75" s="107">
        <v>0</v>
      </c>
      <c r="GH75" s="107">
        <v>0</v>
      </c>
      <c r="GI75" s="107">
        <v>0</v>
      </c>
      <c r="GJ75" s="107">
        <v>0</v>
      </c>
      <c r="GK75" s="107">
        <v>0</v>
      </c>
      <c r="GL75" s="107">
        <v>0</v>
      </c>
      <c r="GM75" s="107">
        <v>0</v>
      </c>
      <c r="GN75" s="107">
        <v>0</v>
      </c>
      <c r="GO75" s="107">
        <v>0</v>
      </c>
      <c r="GP75" s="107">
        <v>0</v>
      </c>
      <c r="GQ75" s="107">
        <v>0</v>
      </c>
      <c r="GR75" s="107">
        <v>0</v>
      </c>
      <c r="GS75" s="107">
        <v>0</v>
      </c>
      <c r="GT75" s="107">
        <v>0</v>
      </c>
      <c r="GU75" s="107">
        <v>0</v>
      </c>
      <c r="GV75" s="107">
        <v>0</v>
      </c>
      <c r="GW75" s="107">
        <v>0</v>
      </c>
      <c r="GX75" s="107">
        <v>0</v>
      </c>
      <c r="GY75" s="107">
        <v>0</v>
      </c>
      <c r="GZ75" s="107">
        <v>0</v>
      </c>
      <c r="HA75" s="107">
        <v>0</v>
      </c>
      <c r="HB75" s="107">
        <v>0</v>
      </c>
      <c r="HC75" s="107">
        <v>0</v>
      </c>
      <c r="HD75" s="107">
        <v>0</v>
      </c>
      <c r="HE75" s="107">
        <v>0</v>
      </c>
      <c r="HF75" s="107">
        <v>0</v>
      </c>
      <c r="HG75" s="107">
        <v>0</v>
      </c>
      <c r="HH75" s="107">
        <v>0</v>
      </c>
      <c r="HI75" s="107">
        <v>0</v>
      </c>
      <c r="HJ75" s="107">
        <v>0</v>
      </c>
      <c r="HK75" s="107">
        <v>0</v>
      </c>
      <c r="HL75" s="107">
        <v>0</v>
      </c>
      <c r="HM75" s="107">
        <v>0</v>
      </c>
      <c r="HN75" s="107">
        <v>0</v>
      </c>
      <c r="HO75" s="107">
        <v>0</v>
      </c>
      <c r="HP75" s="107">
        <v>0</v>
      </c>
      <c r="HQ75" s="107">
        <v>0</v>
      </c>
      <c r="HR75" s="107">
        <v>0</v>
      </c>
      <c r="HS75" s="107">
        <v>0</v>
      </c>
      <c r="HT75" s="107">
        <f t="shared" si="119"/>
        <v>472066.6666666667</v>
      </c>
      <c r="HU75" s="107">
        <f t="shared" si="120"/>
        <v>123856.66666666667</v>
      </c>
      <c r="HV75" s="107">
        <f t="shared" si="121"/>
        <v>6480</v>
      </c>
      <c r="HW75" s="383">
        <f t="shared" si="122"/>
        <v>0</v>
      </c>
      <c r="HX75" s="70">
        <f t="shared" si="123"/>
        <v>602403.3333333334</v>
      </c>
    </row>
    <row r="76" spans="1:232" ht="17.25" thickBot="1" thickTop="1">
      <c r="A76" s="480">
        <v>1</v>
      </c>
      <c r="B76" s="412" t="s">
        <v>378</v>
      </c>
      <c r="C76" s="413" t="s">
        <v>209</v>
      </c>
      <c r="D76" s="485">
        <v>25000</v>
      </c>
      <c r="E76" s="458">
        <f>D76*A76</f>
        <v>25000</v>
      </c>
      <c r="G76" s="56" t="s">
        <v>379</v>
      </c>
      <c r="H76" s="440"/>
      <c r="I76" s="360"/>
      <c r="J76" s="203"/>
      <c r="K76" s="254">
        <f>IF(($T$3+$Y$3+$AD$3+$AI$3+$AN$3+$AT$3+$AY$3+$BD$3+$BI$3+$BN$3+$BT$3+$BY$3+$CD$3+0.5*$CI$3)&gt;=$E$163,13.5,100)</f>
        <v>13.5</v>
      </c>
      <c r="L76" s="260"/>
      <c r="M76" s="118"/>
      <c r="N76" s="118"/>
      <c r="O76" s="270" t="s">
        <v>380</v>
      </c>
      <c r="P76" s="113"/>
      <c r="Q76" s="117"/>
      <c r="R76" s="117"/>
      <c r="DT76" s="62">
        <v>10</v>
      </c>
      <c r="DU76" s="107">
        <f>($BN$13)*(1-$I$129)</f>
        <v>2802273.3042464736</v>
      </c>
      <c r="DV76" s="107">
        <f>($BN$36)*(1-$I$129)</f>
        <v>2352411.273841422</v>
      </c>
      <c r="DW76" s="107">
        <f>($BN$44)*(1-$I$129)</f>
        <v>18627.839999999997</v>
      </c>
      <c r="DX76" s="107">
        <f>($BN$45)*(1-$I$129)</f>
        <v>19483.199999999997</v>
      </c>
      <c r="DY76" s="107">
        <f>($BN$46)*(1-$I$129)</f>
        <v>10454.4</v>
      </c>
      <c r="DZ76" s="10">
        <f t="shared" si="124"/>
        <v>239124.34496969698</v>
      </c>
      <c r="EA76" s="79">
        <f t="shared" si="125"/>
        <v>640420.9353747484</v>
      </c>
      <c r="FH76" s="62">
        <v>13</v>
      </c>
      <c r="FI76" s="107">
        <f aca="true" t="shared" si="128" ref="FI76:FI83">ROUND(FI75-($I$17+$I$20)*FI75,0)</f>
        <v>269</v>
      </c>
      <c r="FJ76" s="107">
        <f>IF($H$120="yes",FI76*$FR$39,0)</f>
        <v>0</v>
      </c>
      <c r="FK76" s="107">
        <f>IF($H$120="no",FI76*$FS$39,0)</f>
        <v>130913.33333333334</v>
      </c>
      <c r="FL76" s="107">
        <f>IF($H$120="yes",ROUND($I$17*FI76,0)*($FR$40),ROUND($I$17*FI76,0)*($FS$40))</f>
        <v>21656.666666666668</v>
      </c>
      <c r="FM76" s="107">
        <f>IF($H$120="yes",ROUND($I$20*FI76,0)*($FR$40),ROUND($I$20*FI76,0)*($FS$40))</f>
        <v>730</v>
      </c>
      <c r="FN76" s="107">
        <f t="shared" si="126"/>
        <v>1620</v>
      </c>
      <c r="FO76" s="107">
        <f t="shared" si="127"/>
        <v>0</v>
      </c>
      <c r="FP76" s="107">
        <f>ROUND($I$7*($I$17+$I$20),0)</f>
        <v>408</v>
      </c>
      <c r="FQ76" s="107">
        <f>IF($H$120="yes",FP76*$FR$38,0)</f>
        <v>0</v>
      </c>
      <c r="FR76" s="107">
        <f>IF($H$120="no",FP76*$FS$38,0)</f>
        <v>297840</v>
      </c>
      <c r="FS76" s="107">
        <f>IF($H$120="yes",ROUND($I$17*FP76,0)*($FR$39+$FR$40),ROUND($I$17*FP76,0)*($FS$39+$FS$40))</f>
        <v>98550</v>
      </c>
      <c r="FT76" s="107">
        <f>IF($H$120="yes",ROUND($I$20*FP76,0)*($FR$39+$FR$40),ROUND($I$20*FP76,0)*($FS$39+$FS$40))</f>
        <v>2920</v>
      </c>
      <c r="FU76" s="107">
        <f aca="true" t="shared" si="129" ref="FU76:FU83">IF($H$117="no",ROUND($I$20*FP76,0)*($I$18*$I$19),0)</f>
        <v>2160</v>
      </c>
      <c r="FV76" s="107">
        <f aca="true" t="shared" si="130" ref="FV76:FV83">IF($H$117="yes",ROUND(FP76*$I$17,0)*$I$18*$I$19,0)</f>
        <v>0</v>
      </c>
      <c r="FW76" s="107">
        <v>0</v>
      </c>
      <c r="FX76" s="107">
        <v>0</v>
      </c>
      <c r="FY76" s="107">
        <v>0</v>
      </c>
      <c r="FZ76" s="107">
        <v>0</v>
      </c>
      <c r="GA76" s="107">
        <v>0</v>
      </c>
      <c r="GB76" s="107">
        <v>0</v>
      </c>
      <c r="GC76" s="107">
        <v>0</v>
      </c>
      <c r="GD76" s="107">
        <v>0</v>
      </c>
      <c r="GE76" s="107">
        <v>0</v>
      </c>
      <c r="GF76" s="107">
        <v>0</v>
      </c>
      <c r="GG76" s="107">
        <v>0</v>
      </c>
      <c r="GH76" s="107">
        <v>0</v>
      </c>
      <c r="GI76" s="107">
        <v>0</v>
      </c>
      <c r="GJ76" s="107">
        <v>0</v>
      </c>
      <c r="GK76" s="107">
        <v>0</v>
      </c>
      <c r="GL76" s="107">
        <v>0</v>
      </c>
      <c r="GM76" s="107">
        <v>0</v>
      </c>
      <c r="GN76" s="107">
        <v>0</v>
      </c>
      <c r="GO76" s="107">
        <v>0</v>
      </c>
      <c r="GP76" s="107">
        <v>0</v>
      </c>
      <c r="GQ76" s="107">
        <v>0</v>
      </c>
      <c r="GR76" s="107">
        <v>0</v>
      </c>
      <c r="GS76" s="107">
        <v>0</v>
      </c>
      <c r="GT76" s="107">
        <v>0</v>
      </c>
      <c r="GU76" s="107">
        <v>0</v>
      </c>
      <c r="GV76" s="107">
        <v>0</v>
      </c>
      <c r="GW76" s="107">
        <v>0</v>
      </c>
      <c r="GX76" s="107">
        <v>0</v>
      </c>
      <c r="GY76" s="107">
        <v>0</v>
      </c>
      <c r="GZ76" s="107">
        <v>0</v>
      </c>
      <c r="HA76" s="107">
        <v>0</v>
      </c>
      <c r="HB76" s="107">
        <v>0</v>
      </c>
      <c r="HC76" s="107">
        <v>0</v>
      </c>
      <c r="HD76" s="107">
        <v>0</v>
      </c>
      <c r="HE76" s="107">
        <v>0</v>
      </c>
      <c r="HF76" s="107">
        <v>0</v>
      </c>
      <c r="HG76" s="107">
        <v>0</v>
      </c>
      <c r="HH76" s="107">
        <v>0</v>
      </c>
      <c r="HI76" s="107">
        <v>0</v>
      </c>
      <c r="HJ76" s="107">
        <v>0</v>
      </c>
      <c r="HK76" s="107">
        <v>0</v>
      </c>
      <c r="HL76" s="107">
        <v>0</v>
      </c>
      <c r="HM76" s="107">
        <v>0</v>
      </c>
      <c r="HN76" s="107">
        <v>0</v>
      </c>
      <c r="HO76" s="107">
        <v>0</v>
      </c>
      <c r="HP76" s="107">
        <v>0</v>
      </c>
      <c r="HQ76" s="107">
        <v>0</v>
      </c>
      <c r="HR76" s="107">
        <v>0</v>
      </c>
      <c r="HS76" s="107">
        <v>0</v>
      </c>
      <c r="HT76" s="107">
        <f t="shared" si="119"/>
        <v>472066.6666666667</v>
      </c>
      <c r="HU76" s="107">
        <f t="shared" si="120"/>
        <v>123856.66666666667</v>
      </c>
      <c r="HV76" s="107">
        <f t="shared" si="121"/>
        <v>6480</v>
      </c>
      <c r="HW76" s="383">
        <f t="shared" si="122"/>
        <v>0</v>
      </c>
      <c r="HX76" s="70">
        <f t="shared" si="123"/>
        <v>602403.3333333334</v>
      </c>
    </row>
    <row r="77" spans="1:232" ht="17.25" thickBot="1" thickTop="1">
      <c r="A77" s="481">
        <v>1</v>
      </c>
      <c r="B77" s="414" t="s">
        <v>381</v>
      </c>
      <c r="C77" s="415" t="s">
        <v>209</v>
      </c>
      <c r="D77" s="486">
        <v>3800</v>
      </c>
      <c r="E77" s="459">
        <f>D77*A77</f>
        <v>3800</v>
      </c>
      <c r="G77" s="394" t="s">
        <v>382</v>
      </c>
      <c r="H77" s="440"/>
      <c r="I77" s="502">
        <v>1</v>
      </c>
      <c r="J77" s="203"/>
      <c r="K77" s="254">
        <f>IF(($T$3+$Y$3+$AD$3+$AI$3+$AN$3+$AT$3+$AY$3+$BD$3+$BI$3+$BN$3+$BT$3+$BY$3+$CD$3+$CI$3)&gt;=$E$163,14,100)</f>
        <v>14</v>
      </c>
      <c r="L77" s="260"/>
      <c r="M77" s="118"/>
      <c r="N77" s="118"/>
      <c r="O77" s="274" t="s">
        <v>383</v>
      </c>
      <c r="P77" s="118"/>
      <c r="Q77" s="114"/>
      <c r="R77" s="114"/>
      <c r="DT77" s="62">
        <v>11</v>
      </c>
      <c r="DU77" s="107">
        <f>($BT$13)*(1-$I$129)</f>
        <v>2828352.815788938</v>
      </c>
      <c r="DV77" s="107">
        <f>($BT$36)*(1-$I$129)</f>
        <v>2359070.582088003</v>
      </c>
      <c r="DW77" s="107">
        <f>($BT$44)*(1-$I$129)</f>
        <v>18627.839999999997</v>
      </c>
      <c r="DX77" s="107">
        <f>($BT$45)*(1-$I$129)</f>
        <v>19483.199999999997</v>
      </c>
      <c r="DY77" s="107">
        <f>($BT$46)*(1-$I$129)</f>
        <v>10454.4</v>
      </c>
      <c r="DZ77" s="10">
        <f t="shared" si="124"/>
        <v>284592.83242424246</v>
      </c>
      <c r="EA77" s="79">
        <f t="shared" si="125"/>
        <v>705309.6261251778</v>
      </c>
      <c r="FH77" s="62">
        <v>14</v>
      </c>
      <c r="FI77" s="107">
        <f t="shared" si="128"/>
        <v>178</v>
      </c>
      <c r="FJ77" s="107">
        <f>IF($H$120="yes",FI77*$FR$40,0)</f>
        <v>0</v>
      </c>
      <c r="FK77" s="107">
        <f>IF($H$120="no",FI77*$FS$40,0)</f>
        <v>43313.333333333336</v>
      </c>
      <c r="FL77" s="107">
        <v>0</v>
      </c>
      <c r="FM77" s="107">
        <v>0</v>
      </c>
      <c r="FN77" s="107">
        <f t="shared" si="126"/>
        <v>1080</v>
      </c>
      <c r="FO77" s="107">
        <f t="shared" si="127"/>
        <v>0</v>
      </c>
      <c r="FP77" s="107">
        <f aca="true" t="shared" si="131" ref="FP77:FP83">ROUND(FP76-($I$17+$I$20)*FP76,0)</f>
        <v>269</v>
      </c>
      <c r="FQ77" s="107">
        <f>IF($H$120="yes",FP77*$FR$39,0)</f>
        <v>0</v>
      </c>
      <c r="FR77" s="107">
        <f>IF($H$120="no",FP77*$FS$39,0)</f>
        <v>130913.33333333334</v>
      </c>
      <c r="FS77" s="107">
        <f>IF($H$120="yes",ROUND($I$17*FP77,0)*($FR$40),ROUND($I$17*FP77,0)*($FS$40))</f>
        <v>21656.666666666668</v>
      </c>
      <c r="FT77" s="107">
        <f>IF($H$120="yes",ROUND($I$20*FP77,0)*($FR$40),ROUND($I$20*FP77,0)*($FS$40))</f>
        <v>730</v>
      </c>
      <c r="FU77" s="107">
        <f t="shared" si="129"/>
        <v>1620</v>
      </c>
      <c r="FV77" s="107">
        <f t="shared" si="130"/>
        <v>0</v>
      </c>
      <c r="FW77" s="107">
        <f>ROUND($I$7*($I$17+$I$20),0)</f>
        <v>408</v>
      </c>
      <c r="FX77" s="107">
        <f>IF($H$120="yes",FW77*$FR$38,0)</f>
        <v>0</v>
      </c>
      <c r="FY77" s="107">
        <f>IF($H$120="no",FW77*$FS$38,0)</f>
        <v>297840</v>
      </c>
      <c r="FZ77" s="107">
        <f>IF($H$120="yes",ROUND($I$17*FW77,0)*($FR$39+$FR$40),ROUND($I$17*FW77,0)*($FS$39+$FS$40))</f>
        <v>98550</v>
      </c>
      <c r="GA77" s="107">
        <f>IF($H$120="yes",ROUND($I$20*FW77,0)*($FR$39+$FR$40),ROUND($I$20*FW77,0)*($FS$39+$FS$40))</f>
        <v>2920</v>
      </c>
      <c r="GB77" s="107">
        <f aca="true" t="shared" si="132" ref="GB77:GB83">IF($H$117="no",ROUND($I$20*FW77,0)*($I$18*$I$19),0)</f>
        <v>2160</v>
      </c>
      <c r="GC77" s="107">
        <f aca="true" t="shared" si="133" ref="GC77:GC83">IF($H$117="yes",ROUND(FW77*$I$17,0)*$I$18*$I$19,0)</f>
        <v>0</v>
      </c>
      <c r="GD77" s="107">
        <v>0</v>
      </c>
      <c r="GE77" s="107">
        <v>0</v>
      </c>
      <c r="GF77" s="107">
        <v>0</v>
      </c>
      <c r="GG77" s="107">
        <v>0</v>
      </c>
      <c r="GH77" s="107">
        <v>0</v>
      </c>
      <c r="GI77" s="107">
        <v>0</v>
      </c>
      <c r="GJ77" s="107">
        <v>0</v>
      </c>
      <c r="GK77" s="107">
        <v>0</v>
      </c>
      <c r="GL77" s="107">
        <v>0</v>
      </c>
      <c r="GM77" s="107">
        <v>0</v>
      </c>
      <c r="GN77" s="107">
        <v>0</v>
      </c>
      <c r="GO77" s="107">
        <v>0</v>
      </c>
      <c r="GP77" s="107">
        <v>0</v>
      </c>
      <c r="GQ77" s="107">
        <v>0</v>
      </c>
      <c r="GR77" s="107">
        <v>0</v>
      </c>
      <c r="GS77" s="107">
        <v>0</v>
      </c>
      <c r="GT77" s="107">
        <v>0</v>
      </c>
      <c r="GU77" s="107">
        <v>0</v>
      </c>
      <c r="GV77" s="107">
        <v>0</v>
      </c>
      <c r="GW77" s="107">
        <v>0</v>
      </c>
      <c r="GX77" s="107">
        <v>0</v>
      </c>
      <c r="GY77" s="107">
        <v>0</v>
      </c>
      <c r="GZ77" s="107">
        <v>0</v>
      </c>
      <c r="HA77" s="107">
        <v>0</v>
      </c>
      <c r="HB77" s="107">
        <v>0</v>
      </c>
      <c r="HC77" s="107">
        <v>0</v>
      </c>
      <c r="HD77" s="107">
        <v>0</v>
      </c>
      <c r="HE77" s="107">
        <v>0</v>
      </c>
      <c r="HF77" s="107">
        <v>0</v>
      </c>
      <c r="HG77" s="107">
        <v>0</v>
      </c>
      <c r="HH77" s="107">
        <v>0</v>
      </c>
      <c r="HI77" s="107">
        <v>0</v>
      </c>
      <c r="HJ77" s="107">
        <v>0</v>
      </c>
      <c r="HK77" s="107">
        <v>0</v>
      </c>
      <c r="HL77" s="107">
        <v>0</v>
      </c>
      <c r="HM77" s="107">
        <v>0</v>
      </c>
      <c r="HN77" s="107">
        <v>0</v>
      </c>
      <c r="HO77" s="107">
        <v>0</v>
      </c>
      <c r="HP77" s="107">
        <v>0</v>
      </c>
      <c r="HQ77" s="107">
        <v>0</v>
      </c>
      <c r="HR77" s="107">
        <v>0</v>
      </c>
      <c r="HS77" s="107">
        <v>0</v>
      </c>
      <c r="HT77" s="107">
        <f t="shared" si="119"/>
        <v>472066.6666666667</v>
      </c>
      <c r="HU77" s="107">
        <f t="shared" si="120"/>
        <v>123856.66666666667</v>
      </c>
      <c r="HV77" s="107">
        <f t="shared" si="121"/>
        <v>6480</v>
      </c>
      <c r="HW77" s="383">
        <f t="shared" si="122"/>
        <v>0</v>
      </c>
      <c r="HX77" s="70">
        <f t="shared" si="123"/>
        <v>602403.3333333334</v>
      </c>
    </row>
    <row r="78" spans="1:232" ht="16.5" thickTop="1">
      <c r="A78" s="13"/>
      <c r="B78" s="418"/>
      <c r="C78" s="425"/>
      <c r="D78" s="376" t="s">
        <v>104</v>
      </c>
      <c r="E78" s="368">
        <f>ROUND(SUM(E75:E77),0)</f>
        <v>48800</v>
      </c>
      <c r="G78" s="394" t="s">
        <v>384</v>
      </c>
      <c r="H78" s="440"/>
      <c r="I78" s="502">
        <v>0.8</v>
      </c>
      <c r="J78" s="203"/>
      <c r="K78" s="254">
        <f>IF(($T$3+$Y$3+$AD$3+$AI$3+$AN$3+$AT$3+$AY$3+$BD$3+$BI$3+$BN$3+$BT$3+$BY$3+$CD$3+$CI$3+0.5*$CN$3)&gt;=$E$163,14.5,100)</f>
        <v>14.5</v>
      </c>
      <c r="L78" s="260"/>
      <c r="M78" s="118"/>
      <c r="N78" s="118"/>
      <c r="O78" s="274" t="s">
        <v>385</v>
      </c>
      <c r="P78" s="118"/>
      <c r="Q78" s="113"/>
      <c r="R78" s="113"/>
      <c r="DT78" s="62">
        <v>12</v>
      </c>
      <c r="DU78" s="107">
        <f>($BY$13)*(1-$I$129)</f>
        <v>2854693.1224468276</v>
      </c>
      <c r="DV78" s="107">
        <f>($BY$36)*(1-$I$129)</f>
        <v>2365811.0756704537</v>
      </c>
      <c r="DW78" s="107">
        <f>($BY$44)*(1-$I$129)</f>
        <v>18627.839999999997</v>
      </c>
      <c r="DX78" s="107">
        <f>($BY$45)*(1-$I$129)</f>
        <v>19483.199999999997</v>
      </c>
      <c r="DY78" s="107">
        <f>($BY$46)*(1-$I$129)</f>
        <v>10454.4</v>
      </c>
      <c r="DZ78" s="10">
        <f t="shared" si="124"/>
        <v>266473.28351515153</v>
      </c>
      <c r="EA78" s="79">
        <f t="shared" si="125"/>
        <v>706789.8902915255</v>
      </c>
      <c r="FH78" s="62">
        <v>15</v>
      </c>
      <c r="FI78" s="107">
        <f t="shared" si="128"/>
        <v>117</v>
      </c>
      <c r="FJ78" s="107">
        <v>0</v>
      </c>
      <c r="FK78" s="107">
        <v>0</v>
      </c>
      <c r="FL78" s="107">
        <v>0</v>
      </c>
      <c r="FM78" s="107">
        <v>0</v>
      </c>
      <c r="FN78" s="107">
        <f t="shared" si="126"/>
        <v>540</v>
      </c>
      <c r="FO78" s="107">
        <f t="shared" si="127"/>
        <v>0</v>
      </c>
      <c r="FP78" s="107">
        <f t="shared" si="131"/>
        <v>178</v>
      </c>
      <c r="FQ78" s="107">
        <f>IF($H$120="yes",FP78*$FR$40,0)</f>
        <v>0</v>
      </c>
      <c r="FR78" s="107">
        <f>IF($H$120="no",FP78*$FS$40,0)</f>
        <v>43313.333333333336</v>
      </c>
      <c r="FS78" s="107">
        <v>0</v>
      </c>
      <c r="FT78" s="107">
        <v>0</v>
      </c>
      <c r="FU78" s="107">
        <f t="shared" si="129"/>
        <v>1080</v>
      </c>
      <c r="FV78" s="107">
        <f t="shared" si="130"/>
        <v>0</v>
      </c>
      <c r="FW78" s="107">
        <f aca="true" t="shared" si="134" ref="FW78:FW83">ROUND(FW77-($I$17+$I$20)*FW77,0)</f>
        <v>269</v>
      </c>
      <c r="FX78" s="107">
        <f>IF($H$120="yes",FW78*$FR$39,0)</f>
        <v>0</v>
      </c>
      <c r="FY78" s="107">
        <f>IF($H$120="no",FW78*$FS$39,0)</f>
        <v>130913.33333333334</v>
      </c>
      <c r="FZ78" s="107">
        <f>IF($H$120="yes",ROUND($I$17*FW78,0)*($FR$40),ROUND($I$17*FW78,0)*($FS$40))</f>
        <v>21656.666666666668</v>
      </c>
      <c r="GA78" s="107">
        <f>IF($H$120="yes",ROUND($I$20*FW78,0)*($FR$40),ROUND($I$20*FW78,0)*($FS$40))</f>
        <v>730</v>
      </c>
      <c r="GB78" s="107">
        <f t="shared" si="132"/>
        <v>1620</v>
      </c>
      <c r="GC78" s="107">
        <f t="shared" si="133"/>
        <v>0</v>
      </c>
      <c r="GD78" s="107">
        <f>ROUND($I$7*($I$17+$I$20),0)</f>
        <v>408</v>
      </c>
      <c r="GE78" s="107">
        <f>IF($H$120="yes",GD78*$FR$38,0)</f>
        <v>0</v>
      </c>
      <c r="GF78" s="107">
        <f>IF($H$120="no",GD78*$FS$38,0)</f>
        <v>297840</v>
      </c>
      <c r="GG78" s="107">
        <f>IF($H$120="yes",ROUND($I$17*GD78,0)*($FR$39+$FR$40),ROUND($I$17*GD78,0)*($FS$39+$FS$40))</f>
        <v>98550</v>
      </c>
      <c r="GH78" s="107">
        <f>IF($H$120="yes",ROUND($I$20*GD78,0)*($FR$39+$FR$40),ROUND($I$20*GD78,0)*($FS$39+$FS$40))</f>
        <v>2920</v>
      </c>
      <c r="GI78" s="107">
        <f aca="true" t="shared" si="135" ref="GI78:GI83">IF($H$117="no",ROUND($I$20*GD78,0)*($I$18*$I$19),0)</f>
        <v>2160</v>
      </c>
      <c r="GJ78" s="107">
        <f aca="true" t="shared" si="136" ref="GJ78:GJ83">IF($H$117="yes",ROUND(GD78*$I$17,0)*$I$18*$I$19,0)</f>
        <v>0</v>
      </c>
      <c r="GK78" s="107">
        <v>0</v>
      </c>
      <c r="GL78" s="107">
        <v>0</v>
      </c>
      <c r="GM78" s="107">
        <v>0</v>
      </c>
      <c r="GN78" s="107">
        <v>0</v>
      </c>
      <c r="GO78" s="107">
        <v>0</v>
      </c>
      <c r="GP78" s="107">
        <v>0</v>
      </c>
      <c r="GQ78" s="107">
        <v>0</v>
      </c>
      <c r="GR78" s="107">
        <v>0</v>
      </c>
      <c r="GS78" s="107">
        <v>0</v>
      </c>
      <c r="GT78" s="107">
        <v>0</v>
      </c>
      <c r="GU78" s="107">
        <v>0</v>
      </c>
      <c r="GV78" s="107">
        <v>0</v>
      </c>
      <c r="GW78" s="107">
        <v>0</v>
      </c>
      <c r="GX78" s="107">
        <v>0</v>
      </c>
      <c r="GY78" s="107">
        <v>0</v>
      </c>
      <c r="GZ78" s="107">
        <v>0</v>
      </c>
      <c r="HA78" s="107">
        <v>0</v>
      </c>
      <c r="HB78" s="107">
        <v>0</v>
      </c>
      <c r="HC78" s="107">
        <v>0</v>
      </c>
      <c r="HD78" s="107">
        <v>0</v>
      </c>
      <c r="HE78" s="107">
        <v>0</v>
      </c>
      <c r="HF78" s="107">
        <v>0</v>
      </c>
      <c r="HG78" s="107">
        <v>0</v>
      </c>
      <c r="HH78" s="107">
        <v>0</v>
      </c>
      <c r="HI78" s="107">
        <v>0</v>
      </c>
      <c r="HJ78" s="107">
        <v>0</v>
      </c>
      <c r="HK78" s="107">
        <v>0</v>
      </c>
      <c r="HL78" s="107">
        <v>0</v>
      </c>
      <c r="HM78" s="107">
        <v>0</v>
      </c>
      <c r="HN78" s="107">
        <v>0</v>
      </c>
      <c r="HO78" s="107">
        <v>0</v>
      </c>
      <c r="HP78" s="107">
        <v>0</v>
      </c>
      <c r="HQ78" s="107">
        <v>0</v>
      </c>
      <c r="HR78" s="107">
        <v>0</v>
      </c>
      <c r="HS78" s="107">
        <v>0</v>
      </c>
      <c r="HT78" s="107">
        <f t="shared" si="119"/>
        <v>472066.6666666667</v>
      </c>
      <c r="HU78" s="107">
        <f t="shared" si="120"/>
        <v>123856.66666666667</v>
      </c>
      <c r="HV78" s="107">
        <f t="shared" si="121"/>
        <v>6480</v>
      </c>
      <c r="HW78" s="383">
        <f t="shared" si="122"/>
        <v>0</v>
      </c>
      <c r="HX78" s="70">
        <f t="shared" si="123"/>
        <v>602403.3333333334</v>
      </c>
    </row>
    <row r="79" spans="1:232" ht="16.5" thickBot="1">
      <c r="A79" s="1" t="s">
        <v>386</v>
      </c>
      <c r="B79" s="418"/>
      <c r="C79" s="425"/>
      <c r="D79" s="365"/>
      <c r="E79" s="364"/>
      <c r="G79" s="394" t="s">
        <v>387</v>
      </c>
      <c r="H79" s="440"/>
      <c r="I79" s="502">
        <v>1</v>
      </c>
      <c r="J79" s="203"/>
      <c r="K79" s="254">
        <f>IF(($T$3+$Y$3+$AD$3+$AI$3+$AN$3+$AT$3+$AY$3+$BD$3+$BI$3+$BN$3+$BT$3+$BY$3+$CD$3+$CI$3+$CN$3)&gt;=$E$163,15,100)</f>
        <v>15</v>
      </c>
      <c r="L79" s="260"/>
      <c r="M79" s="292"/>
      <c r="N79" s="118"/>
      <c r="O79" s="274" t="s">
        <v>388</v>
      </c>
      <c r="P79" s="118"/>
      <c r="Q79" s="118"/>
      <c r="R79" s="118"/>
      <c r="DT79" s="62">
        <v>13</v>
      </c>
      <c r="DU79" s="107">
        <f>($CD$13)*(1-$I$129)</f>
        <v>2881296.8321712962</v>
      </c>
      <c r="DV79" s="107">
        <f>($CD$36)*(1-$I$129)</f>
        <v>2372633.643030352</v>
      </c>
      <c r="DW79" s="107">
        <f>($CD$44)*(1-$I$129)</f>
        <v>18627.839999999997</v>
      </c>
      <c r="DX79" s="107">
        <f>($CD$45)*(1-$I$129)</f>
        <v>19483.199999999997</v>
      </c>
      <c r="DY79" s="107">
        <f>($CD$46)*(1-$I$129)</f>
        <v>10454.4</v>
      </c>
      <c r="DZ79" s="10">
        <f t="shared" si="124"/>
        <v>248353.73460606064</v>
      </c>
      <c r="EA79" s="79">
        <f t="shared" si="125"/>
        <v>708451.483747005</v>
      </c>
      <c r="FH79" s="62">
        <v>16</v>
      </c>
      <c r="FI79" s="107">
        <f t="shared" si="128"/>
        <v>77</v>
      </c>
      <c r="FJ79" s="107">
        <v>0</v>
      </c>
      <c r="FK79" s="107">
        <v>0</v>
      </c>
      <c r="FL79" s="107">
        <v>0</v>
      </c>
      <c r="FM79" s="107">
        <v>0</v>
      </c>
      <c r="FN79" s="107">
        <f t="shared" si="126"/>
        <v>540</v>
      </c>
      <c r="FO79" s="107">
        <f t="shared" si="127"/>
        <v>0</v>
      </c>
      <c r="FP79" s="107">
        <f t="shared" si="131"/>
        <v>117</v>
      </c>
      <c r="FQ79" s="107">
        <v>0</v>
      </c>
      <c r="FR79" s="107">
        <v>0</v>
      </c>
      <c r="FS79" s="107">
        <v>0</v>
      </c>
      <c r="FT79" s="107">
        <v>0</v>
      </c>
      <c r="FU79" s="107">
        <f t="shared" si="129"/>
        <v>540</v>
      </c>
      <c r="FV79" s="107">
        <f t="shared" si="130"/>
        <v>0</v>
      </c>
      <c r="FW79" s="107">
        <f t="shared" si="134"/>
        <v>178</v>
      </c>
      <c r="FX79" s="107">
        <f>IF($H$120="yes",FW79*$FR$40,0)</f>
        <v>0</v>
      </c>
      <c r="FY79" s="107">
        <f>IF($H$120="no",FW79*$FS$40,0)</f>
        <v>43313.333333333336</v>
      </c>
      <c r="FZ79" s="107">
        <v>0</v>
      </c>
      <c r="GA79" s="107">
        <v>0</v>
      </c>
      <c r="GB79" s="107">
        <f t="shared" si="132"/>
        <v>1080</v>
      </c>
      <c r="GC79" s="107">
        <f t="shared" si="133"/>
        <v>0</v>
      </c>
      <c r="GD79" s="107">
        <f>ROUND(GD78-($I$17+$I$20)*GD78,0)</f>
        <v>269</v>
      </c>
      <c r="GE79" s="107">
        <f>IF($H$120="yes",GD79*$FR$39,0)</f>
        <v>0</v>
      </c>
      <c r="GF79" s="107">
        <f>IF($H$120="no",GD79*$FS$39,0)</f>
        <v>130913.33333333334</v>
      </c>
      <c r="GG79" s="107">
        <f>IF($H$120="yes",ROUND($I$17*GD79,0)*($FR$40),ROUND($I$17*GD79,0)*($FS$40))</f>
        <v>21656.666666666668</v>
      </c>
      <c r="GH79" s="107">
        <f>IF($H$120="yes",ROUND($I$20*GD79,0)*($FR$40),ROUND($I$20*GD79,0)*($FS$40))</f>
        <v>730</v>
      </c>
      <c r="GI79" s="107">
        <f t="shared" si="135"/>
        <v>1620</v>
      </c>
      <c r="GJ79" s="107">
        <f t="shared" si="136"/>
        <v>0</v>
      </c>
      <c r="GK79" s="107">
        <f>ROUND($I$7*($I$17+$I$20),0)</f>
        <v>408</v>
      </c>
      <c r="GL79" s="107">
        <f>IF($H$120="yes",GK79*$FR$38,0)</f>
        <v>0</v>
      </c>
      <c r="GM79" s="107">
        <f>IF($H$120="no",GK79*$FS$38,0)</f>
        <v>297840</v>
      </c>
      <c r="GN79" s="107">
        <f>IF($H$120="yes",ROUND($I$17*GK79,0)*($FR$39+$FR$40),ROUND($I$17*GK79,0)*($FS$39+$FS$40))</f>
        <v>98550</v>
      </c>
      <c r="GO79" s="107">
        <f>IF($H$120="yes",ROUND($I$20*GK79,0)*($FR$39+$FR$40),ROUND($I$20*GK79,0)*($FS$39+$FS$40))</f>
        <v>2920</v>
      </c>
      <c r="GP79" s="107">
        <f>IF($H$117="no",ROUND($I$20*GK79,0)*($I$18*$I$19),0)</f>
        <v>2160</v>
      </c>
      <c r="GQ79" s="107">
        <f>IF($H$117="yes",ROUND(GK79*$I$17,0)*$I$18*$I$19,0)</f>
        <v>0</v>
      </c>
      <c r="GR79" s="107">
        <v>0</v>
      </c>
      <c r="GS79" s="107">
        <v>0</v>
      </c>
      <c r="GT79" s="107">
        <v>0</v>
      </c>
      <c r="GU79" s="107">
        <v>0</v>
      </c>
      <c r="GV79" s="107">
        <v>0</v>
      </c>
      <c r="GW79" s="107">
        <v>0</v>
      </c>
      <c r="GX79" s="107">
        <v>0</v>
      </c>
      <c r="GY79" s="107">
        <v>0</v>
      </c>
      <c r="GZ79" s="107">
        <v>0</v>
      </c>
      <c r="HA79" s="107">
        <v>0</v>
      </c>
      <c r="HB79" s="107">
        <v>0</v>
      </c>
      <c r="HC79" s="107">
        <v>0</v>
      </c>
      <c r="HD79" s="107">
        <v>0</v>
      </c>
      <c r="HE79" s="107">
        <v>0</v>
      </c>
      <c r="HF79" s="107">
        <v>0</v>
      </c>
      <c r="HG79" s="107">
        <v>0</v>
      </c>
      <c r="HH79" s="107">
        <v>0</v>
      </c>
      <c r="HI79" s="107">
        <v>0</v>
      </c>
      <c r="HJ79" s="107">
        <v>0</v>
      </c>
      <c r="HK79" s="107">
        <v>0</v>
      </c>
      <c r="HL79" s="107">
        <v>0</v>
      </c>
      <c r="HM79" s="107">
        <v>0</v>
      </c>
      <c r="HN79" s="107">
        <v>0</v>
      </c>
      <c r="HO79" s="107">
        <v>0</v>
      </c>
      <c r="HP79" s="107">
        <v>0</v>
      </c>
      <c r="HQ79" s="107">
        <v>0</v>
      </c>
      <c r="HR79" s="107">
        <v>0</v>
      </c>
      <c r="HS79" s="107">
        <v>0</v>
      </c>
      <c r="HT79" s="107">
        <f t="shared" si="119"/>
        <v>472066.6666666667</v>
      </c>
      <c r="HU79" s="107">
        <f t="shared" si="120"/>
        <v>123856.66666666667</v>
      </c>
      <c r="HV79" s="107">
        <f t="shared" si="121"/>
        <v>6480</v>
      </c>
      <c r="HW79" s="383">
        <f t="shared" si="122"/>
        <v>0</v>
      </c>
      <c r="HX79" s="70">
        <f t="shared" si="123"/>
        <v>602403.3333333334</v>
      </c>
    </row>
    <row r="80" spans="1:232" ht="16.5" thickTop="1">
      <c r="A80" s="6"/>
      <c r="B80" s="419"/>
      <c r="C80" s="423"/>
      <c r="D80" s="373"/>
      <c r="E80" s="366" t="s">
        <v>19</v>
      </c>
      <c r="G80" s="394" t="s">
        <v>389</v>
      </c>
      <c r="H80" s="440"/>
      <c r="I80" s="502">
        <v>0.8</v>
      </c>
      <c r="J80" s="203"/>
      <c r="K80" s="254">
        <f>IF(($T$3+$Y$3+$AD$3+$AI$3+$AN$3+$AT$3+$AY$3+$BD$3+$BI$3+$BN$3+$BT$3+$BY$3+$CD$3+$CI$3+$CN$3+0.5*$CT$3)&gt;=$E$163,15.5,100)</f>
        <v>15.5</v>
      </c>
      <c r="L80" s="258"/>
      <c r="M80" s="117"/>
      <c r="N80" s="117"/>
      <c r="O80" s="118"/>
      <c r="P80" s="118"/>
      <c r="Q80" s="118"/>
      <c r="R80" s="118"/>
      <c r="DT80" s="62">
        <v>14</v>
      </c>
      <c r="DU80" s="107">
        <f>($CI$13)*(1-$I$129)</f>
        <v>2908166.5789930094</v>
      </c>
      <c r="DV80" s="107">
        <f>($CI$36)*(1-$I$129)</f>
        <v>2379539.1822595717</v>
      </c>
      <c r="DW80" s="107">
        <f>($CI$44)*(1-$I$129)</f>
        <v>18627.839999999997</v>
      </c>
      <c r="DX80" s="107">
        <f>($CI$45)*(1-$I$129)</f>
        <v>19483.199999999997</v>
      </c>
      <c r="DY80" s="107">
        <f>($CI$46)*(1-$I$129)</f>
        <v>10454.4</v>
      </c>
      <c r="DZ80" s="10">
        <f t="shared" si="124"/>
        <v>230234.18569696974</v>
      </c>
      <c r="EA80" s="79">
        <f t="shared" si="125"/>
        <v>710296.1424304075</v>
      </c>
      <c r="FH80" s="62">
        <v>17</v>
      </c>
      <c r="FI80" s="107">
        <f t="shared" si="128"/>
        <v>51</v>
      </c>
      <c r="FJ80" s="107">
        <v>0</v>
      </c>
      <c r="FK80" s="107">
        <v>0</v>
      </c>
      <c r="FL80" s="107">
        <v>0</v>
      </c>
      <c r="FM80" s="107">
        <v>0</v>
      </c>
      <c r="FN80" s="107">
        <f t="shared" si="126"/>
        <v>540</v>
      </c>
      <c r="FO80" s="107">
        <f t="shared" si="127"/>
        <v>0</v>
      </c>
      <c r="FP80" s="107">
        <f t="shared" si="131"/>
        <v>77</v>
      </c>
      <c r="FQ80" s="107">
        <v>0</v>
      </c>
      <c r="FR80" s="107">
        <v>0</v>
      </c>
      <c r="FS80" s="107">
        <v>0</v>
      </c>
      <c r="FT80" s="107">
        <v>0</v>
      </c>
      <c r="FU80" s="107">
        <f t="shared" si="129"/>
        <v>540</v>
      </c>
      <c r="FV80" s="107">
        <f t="shared" si="130"/>
        <v>0</v>
      </c>
      <c r="FW80" s="107">
        <f t="shared" si="134"/>
        <v>117</v>
      </c>
      <c r="FX80" s="107">
        <v>0</v>
      </c>
      <c r="FY80" s="107">
        <v>0</v>
      </c>
      <c r="FZ80" s="107">
        <v>0</v>
      </c>
      <c r="GA80" s="107">
        <v>0</v>
      </c>
      <c r="GB80" s="107">
        <f t="shared" si="132"/>
        <v>540</v>
      </c>
      <c r="GC80" s="107">
        <f t="shared" si="133"/>
        <v>0</v>
      </c>
      <c r="GD80" s="107">
        <f>ROUND(GD79-($I$17+$I$20)*GD79,0)</f>
        <v>178</v>
      </c>
      <c r="GE80" s="107">
        <f>IF($H$120="yes",GD80*$FR$40,0)</f>
        <v>0</v>
      </c>
      <c r="GF80" s="107">
        <f>IF($H$120="no",GD80*$FS$40,0)</f>
        <v>43313.333333333336</v>
      </c>
      <c r="GG80" s="107">
        <v>0</v>
      </c>
      <c r="GH80" s="107">
        <v>0</v>
      </c>
      <c r="GI80" s="107">
        <f t="shared" si="135"/>
        <v>1080</v>
      </c>
      <c r="GJ80" s="107">
        <f t="shared" si="136"/>
        <v>0</v>
      </c>
      <c r="GK80" s="107">
        <f>ROUND(GK79-($I$17+$I$20)*GK79,0)</f>
        <v>269</v>
      </c>
      <c r="GL80" s="107">
        <f>IF($H$120="yes",GK80*$FR$39,0)</f>
        <v>0</v>
      </c>
      <c r="GM80" s="107">
        <f>IF($H$120="no",GK80*$FS$39,0)</f>
        <v>130913.33333333334</v>
      </c>
      <c r="GN80" s="107">
        <f>IF($H$120="yes",ROUND($I$17*GK80,0)*($FR$40),ROUND($I$17*GK80,0)*($FS$40))</f>
        <v>21656.666666666668</v>
      </c>
      <c r="GO80" s="107">
        <f>IF($H$120="yes",ROUND($I$20*GK80,0)*($FR$40),ROUND($I$20*GK80,0)*($FS$40))</f>
        <v>730</v>
      </c>
      <c r="GP80" s="107">
        <f>IF($H$117="no",ROUND($I$20*GK80,0)*($I$18*$I$19),0)</f>
        <v>1620</v>
      </c>
      <c r="GQ80" s="107">
        <f>IF($H$117="yes",ROUND(GK80*$I$17,0)*$I$18*$I$19,0)</f>
        <v>0</v>
      </c>
      <c r="GR80" s="107">
        <f>ROUND($I$7*($I$17+$I$20),0)</f>
        <v>408</v>
      </c>
      <c r="GS80" s="107">
        <f>IF($H$120="yes",GR80*$FR$38,0)</f>
        <v>0</v>
      </c>
      <c r="GT80" s="107">
        <f>IF($H$120="no",GR80*$FS$38,0)</f>
        <v>297840</v>
      </c>
      <c r="GU80" s="107">
        <f>IF($H$120="yes",ROUND($I$17*GR80,0)*($FR$39+$FR$40),ROUND($I$17*GR80,0)*($FS$39+$FS$40))</f>
        <v>98550</v>
      </c>
      <c r="GV80" s="107">
        <f>IF($H$120="yes",ROUND($I$20*GR80,0)*($FR$39+$FR$40),ROUND($I$20*GR80,0)*($FS$39+$FS$40))</f>
        <v>2920</v>
      </c>
      <c r="GW80" s="107">
        <f>IF($H$117="no",ROUND($I$20*GR80,0)*($I$18*$I$19),0)</f>
        <v>2160</v>
      </c>
      <c r="GX80" s="107">
        <f>IF($H$117="yes",ROUND(GR80*$I$17,0)*$I$18*$I$19,0)</f>
        <v>0</v>
      </c>
      <c r="GY80" s="107">
        <v>0</v>
      </c>
      <c r="GZ80" s="107">
        <v>0</v>
      </c>
      <c r="HA80" s="107">
        <v>0</v>
      </c>
      <c r="HB80" s="107">
        <v>0</v>
      </c>
      <c r="HC80" s="107">
        <v>0</v>
      </c>
      <c r="HD80" s="107">
        <v>0</v>
      </c>
      <c r="HE80" s="107">
        <v>0</v>
      </c>
      <c r="HF80" s="107">
        <v>0</v>
      </c>
      <c r="HG80" s="107">
        <v>0</v>
      </c>
      <c r="HH80" s="107">
        <v>0</v>
      </c>
      <c r="HI80" s="107">
        <v>0</v>
      </c>
      <c r="HJ80" s="107">
        <v>0</v>
      </c>
      <c r="HK80" s="107">
        <v>0</v>
      </c>
      <c r="HL80" s="107">
        <v>0</v>
      </c>
      <c r="HM80" s="107">
        <v>0</v>
      </c>
      <c r="HN80" s="107">
        <v>0</v>
      </c>
      <c r="HO80" s="107">
        <v>0</v>
      </c>
      <c r="HP80" s="107">
        <v>0</v>
      </c>
      <c r="HQ80" s="107">
        <v>0</v>
      </c>
      <c r="HR80" s="107">
        <v>0</v>
      </c>
      <c r="HS80" s="107">
        <v>0</v>
      </c>
      <c r="HT80" s="107">
        <f t="shared" si="119"/>
        <v>472066.6666666667</v>
      </c>
      <c r="HU80" s="107">
        <f t="shared" si="120"/>
        <v>123856.66666666667</v>
      </c>
      <c r="HV80" s="107">
        <f t="shared" si="121"/>
        <v>6480</v>
      </c>
      <c r="HW80" s="383">
        <f t="shared" si="122"/>
        <v>0</v>
      </c>
      <c r="HX80" s="70">
        <f t="shared" si="123"/>
        <v>602403.3333333334</v>
      </c>
    </row>
    <row r="81" spans="1:232" ht="15.75">
      <c r="A81" s="9"/>
      <c r="B81" s="420"/>
      <c r="C81" s="424"/>
      <c r="D81" s="333" t="s">
        <v>51</v>
      </c>
      <c r="E81" s="132" t="s">
        <v>52</v>
      </c>
      <c r="G81" s="26" t="s">
        <v>390</v>
      </c>
      <c r="H81" s="440"/>
      <c r="I81" s="122"/>
      <c r="J81" s="203"/>
      <c r="K81" s="254">
        <f>IF(($T$3+$Y$3+$AD$3+$AI$3+$AN$3+$AT$3+$AY$3+$BD$3+$BI$3+$BN$3+$BT$3+$BY$3+$CD$3+$CI$3+$CN$3+$CT$3)&gt;=$E$163,16,100)</f>
        <v>16</v>
      </c>
      <c r="L81" s="261"/>
      <c r="M81" s="114"/>
      <c r="N81" s="114"/>
      <c r="O81" s="118"/>
      <c r="P81" s="118"/>
      <c r="Q81" s="113"/>
      <c r="R81" s="113"/>
      <c r="DT81" s="62">
        <v>15</v>
      </c>
      <c r="DU81" s="107">
        <f>($CN$13)*(1-$I$129)</f>
        <v>2935305.02328294</v>
      </c>
      <c r="DV81" s="107">
        <f>($CN$36)*(1-$I$129)</f>
        <v>2386528.60120445</v>
      </c>
      <c r="DW81" s="107">
        <f>($CN$44)*(1-$I$129)</f>
        <v>18627.839999999997</v>
      </c>
      <c r="DX81" s="107">
        <f>($CN$45)*(1-$I$129)</f>
        <v>19483.199999999997</v>
      </c>
      <c r="DY81" s="107">
        <f>($CN$46)*(1-$I$129)</f>
        <v>10454.4</v>
      </c>
      <c r="DZ81" s="10">
        <f t="shared" si="124"/>
        <v>222046.88678787882</v>
      </c>
      <c r="EA81" s="79">
        <f t="shared" si="125"/>
        <v>722257.8688663691</v>
      </c>
      <c r="FH81" s="62">
        <v>18</v>
      </c>
      <c r="FI81" s="107">
        <f t="shared" si="128"/>
        <v>34</v>
      </c>
      <c r="FJ81" s="107">
        <v>0</v>
      </c>
      <c r="FK81" s="107">
        <v>0</v>
      </c>
      <c r="FL81" s="107">
        <v>0</v>
      </c>
      <c r="FM81" s="107">
        <v>0</v>
      </c>
      <c r="FN81" s="107">
        <f t="shared" si="126"/>
        <v>0</v>
      </c>
      <c r="FO81" s="107">
        <f t="shared" si="127"/>
        <v>0</v>
      </c>
      <c r="FP81" s="107">
        <f t="shared" si="131"/>
        <v>51</v>
      </c>
      <c r="FQ81" s="107">
        <v>0</v>
      </c>
      <c r="FR81" s="107">
        <v>0</v>
      </c>
      <c r="FS81" s="107">
        <v>0</v>
      </c>
      <c r="FT81" s="107">
        <v>0</v>
      </c>
      <c r="FU81" s="107">
        <f t="shared" si="129"/>
        <v>540</v>
      </c>
      <c r="FV81" s="107">
        <f t="shared" si="130"/>
        <v>0</v>
      </c>
      <c r="FW81" s="107">
        <f t="shared" si="134"/>
        <v>77</v>
      </c>
      <c r="FX81" s="107">
        <v>0</v>
      </c>
      <c r="FY81" s="107">
        <v>0</v>
      </c>
      <c r="FZ81" s="107">
        <v>0</v>
      </c>
      <c r="GA81" s="107">
        <v>0</v>
      </c>
      <c r="GB81" s="107">
        <f t="shared" si="132"/>
        <v>540</v>
      </c>
      <c r="GC81" s="107">
        <f t="shared" si="133"/>
        <v>0</v>
      </c>
      <c r="GD81" s="107">
        <f>ROUND(GD80-($I$17+$I$20)*GD80,0)</f>
        <v>117</v>
      </c>
      <c r="GE81" s="107">
        <v>0</v>
      </c>
      <c r="GF81" s="107">
        <v>0</v>
      </c>
      <c r="GG81" s="107">
        <v>0</v>
      </c>
      <c r="GH81" s="107">
        <v>0</v>
      </c>
      <c r="GI81" s="107">
        <f t="shared" si="135"/>
        <v>540</v>
      </c>
      <c r="GJ81" s="107">
        <f t="shared" si="136"/>
        <v>0</v>
      </c>
      <c r="GK81" s="107">
        <f>ROUND(GK80-($I$17+$I$20)*GK80,0)</f>
        <v>178</v>
      </c>
      <c r="GL81" s="107">
        <f>IF($H$120="yes",GK81*$FR$40,0)</f>
        <v>0</v>
      </c>
      <c r="GM81" s="107">
        <f>IF($H$120="no",GK81*$FS$40,0)</f>
        <v>43313.333333333336</v>
      </c>
      <c r="GN81" s="107">
        <v>0</v>
      </c>
      <c r="GO81" s="107">
        <v>0</v>
      </c>
      <c r="GP81" s="107">
        <f>IF($H$117="no",ROUND($I$20*GK81,0)*($I$18*$I$19),0)</f>
        <v>1080</v>
      </c>
      <c r="GQ81" s="107">
        <f>IF($H$117="yes",ROUND(GK81*$I$17,0)*$I$18*$I$19,0)</f>
        <v>0</v>
      </c>
      <c r="GR81" s="107">
        <f>ROUND(GR80-($I$17+$I$20)*GR80,0)</f>
        <v>269</v>
      </c>
      <c r="GS81" s="107">
        <f>IF($H$120="yes",GR81*$FR$39,0)</f>
        <v>0</v>
      </c>
      <c r="GT81" s="107">
        <f>IF($H$120="no",GR81*$FS$39,0)</f>
        <v>130913.33333333334</v>
      </c>
      <c r="GU81" s="107">
        <f>IF($H$120="yes",ROUND($I$17*GR81,0)*($FR$40),ROUND($I$17*GR81,0)*($FS$40))</f>
        <v>21656.666666666668</v>
      </c>
      <c r="GV81" s="107">
        <f>IF($H$120="yes",ROUND($I$20*GR81,0)*($FR$40),ROUND($I$20*GR81,0)*($FS$40))</f>
        <v>730</v>
      </c>
      <c r="GW81" s="107">
        <f>IF($H$117="no",ROUND($I$20*GR81,0)*($I$18*$I$19),0)</f>
        <v>1620</v>
      </c>
      <c r="GX81" s="107">
        <f>IF($H$117="yes",ROUND(GR81*$I$17,0)*$I$18*$I$19,0)</f>
        <v>0</v>
      </c>
      <c r="GY81" s="107">
        <f>ROUND($I$7*($I$17+$I$20),0)</f>
        <v>408</v>
      </c>
      <c r="GZ81" s="107">
        <f>IF($H$120="yes",GY81*$FR$38,0)</f>
        <v>0</v>
      </c>
      <c r="HA81" s="107">
        <f>IF($H$120="no",GY81*$FS$38,0)</f>
        <v>297840</v>
      </c>
      <c r="HB81" s="107">
        <f>IF($H$120="yes",ROUND($I$17*GY81,0)*($FR$39+$FR$40),ROUND($I$17*GY81,0)*($FS$39+$FS$40))</f>
        <v>98550</v>
      </c>
      <c r="HC81" s="107">
        <f>IF($H$120="yes",ROUND($I$20*GY81,0)*($FR$39+$FR$40),ROUND($I$20*GY81,0)*($FS$39+$FS$40))</f>
        <v>2920</v>
      </c>
      <c r="HD81" s="107">
        <f>IF($H$117="no",ROUND($I$20*GY81,0)*($I$18*$I$19),0)</f>
        <v>2160</v>
      </c>
      <c r="HE81" s="107">
        <f>IF($H$117="yes",ROUND(GY81*$I$17,0)*$I$18*$I$19,0)</f>
        <v>0</v>
      </c>
      <c r="HF81" s="107">
        <v>0</v>
      </c>
      <c r="HG81" s="107">
        <v>0</v>
      </c>
      <c r="HH81" s="107">
        <v>0</v>
      </c>
      <c r="HI81" s="107">
        <v>0</v>
      </c>
      <c r="HJ81" s="107">
        <v>0</v>
      </c>
      <c r="HK81" s="107">
        <v>0</v>
      </c>
      <c r="HL81" s="107">
        <v>0</v>
      </c>
      <c r="HM81" s="107">
        <v>0</v>
      </c>
      <c r="HN81" s="107">
        <v>0</v>
      </c>
      <c r="HO81" s="107">
        <v>0</v>
      </c>
      <c r="HP81" s="107">
        <v>0</v>
      </c>
      <c r="HQ81" s="107">
        <v>0</v>
      </c>
      <c r="HR81" s="107">
        <v>0</v>
      </c>
      <c r="HS81" s="107">
        <v>0</v>
      </c>
      <c r="HT81" s="107">
        <f t="shared" si="119"/>
        <v>472066.6666666667</v>
      </c>
      <c r="HU81" s="107">
        <f t="shared" si="120"/>
        <v>123856.66666666667</v>
      </c>
      <c r="HV81" s="107">
        <f t="shared" si="121"/>
        <v>6480</v>
      </c>
      <c r="HW81" s="383">
        <f t="shared" si="122"/>
        <v>0</v>
      </c>
      <c r="HX81" s="70">
        <f t="shared" si="123"/>
        <v>602403.3333333334</v>
      </c>
    </row>
    <row r="82" spans="1:232" ht="16.5" thickBot="1">
      <c r="A82" s="11" t="s">
        <v>63</v>
      </c>
      <c r="B82" s="421" t="s">
        <v>64</v>
      </c>
      <c r="C82" s="421" t="s">
        <v>65</v>
      </c>
      <c r="D82" s="374" t="s">
        <v>66</v>
      </c>
      <c r="E82" s="295" t="s">
        <v>66</v>
      </c>
      <c r="G82" s="394" t="s">
        <v>391</v>
      </c>
      <c r="H82" s="440"/>
      <c r="I82" s="502">
        <v>1</v>
      </c>
      <c r="J82" s="203"/>
      <c r="K82" s="254">
        <f>IF(($T$3+$Y$3+$AD$3+$AI$3+$AN$3+$AT$3+$AY$3+$BD$3+$BI$3+$BN$3+$BT$3+$BY$3+$CD$3+$CI$3+$CN$3+$CT$3+0.5*$CY$3)&gt;=$E$163,16.5,100)</f>
        <v>16.5</v>
      </c>
      <c r="L82" s="259"/>
      <c r="M82" s="113"/>
      <c r="N82" s="113"/>
      <c r="O82" s="117"/>
      <c r="P82" s="117"/>
      <c r="Q82" s="113"/>
      <c r="R82" s="113"/>
      <c r="DT82" s="62">
        <v>16</v>
      </c>
      <c r="DU82" s="107">
        <f>($CT$13)*(1-$I$129)</f>
        <v>2962714.8520157686</v>
      </c>
      <c r="DV82" s="107">
        <f>($CT$36)*(1-$I$129)</f>
        <v>2393602.8175710603</v>
      </c>
      <c r="DW82" s="107">
        <f>($CT$44)*(1-$I$129)</f>
        <v>18627.839999999997</v>
      </c>
      <c r="DX82" s="107">
        <f>($CT$45)*(1-$I$129)</f>
        <v>19483.199999999997</v>
      </c>
      <c r="DY82" s="107">
        <f>($CT$46)*(1-$I$129)</f>
        <v>10454.4</v>
      </c>
      <c r="DZ82" s="10">
        <f t="shared" si="124"/>
        <v>249181.33787878792</v>
      </c>
      <c r="EA82" s="79">
        <f t="shared" si="125"/>
        <v>769727.9323234963</v>
      </c>
      <c r="FH82" s="62">
        <v>19</v>
      </c>
      <c r="FI82" s="107">
        <f t="shared" si="128"/>
        <v>22</v>
      </c>
      <c r="FJ82" s="107">
        <v>0</v>
      </c>
      <c r="FK82" s="107">
        <v>0</v>
      </c>
      <c r="FL82" s="107">
        <v>0</v>
      </c>
      <c r="FM82" s="107">
        <v>0</v>
      </c>
      <c r="FN82" s="107">
        <f t="shared" si="126"/>
        <v>0</v>
      </c>
      <c r="FO82" s="107">
        <f t="shared" si="127"/>
        <v>0</v>
      </c>
      <c r="FP82" s="107">
        <f t="shared" si="131"/>
        <v>34</v>
      </c>
      <c r="FQ82" s="107">
        <v>0</v>
      </c>
      <c r="FR82" s="107">
        <v>0</v>
      </c>
      <c r="FS82" s="107">
        <v>0</v>
      </c>
      <c r="FT82" s="107">
        <v>0</v>
      </c>
      <c r="FU82" s="107">
        <f t="shared" si="129"/>
        <v>0</v>
      </c>
      <c r="FV82" s="107">
        <f t="shared" si="130"/>
        <v>0</v>
      </c>
      <c r="FW82" s="107">
        <f t="shared" si="134"/>
        <v>51</v>
      </c>
      <c r="FX82" s="107">
        <v>0</v>
      </c>
      <c r="FY82" s="107">
        <v>0</v>
      </c>
      <c r="FZ82" s="107">
        <v>0</v>
      </c>
      <c r="GA82" s="107">
        <v>0</v>
      </c>
      <c r="GB82" s="107">
        <f t="shared" si="132"/>
        <v>540</v>
      </c>
      <c r="GC82" s="107">
        <f t="shared" si="133"/>
        <v>0</v>
      </c>
      <c r="GD82" s="107">
        <f>ROUND(GD81-($I$17+$I$20)*GD81,0)</f>
        <v>77</v>
      </c>
      <c r="GE82" s="107">
        <v>0</v>
      </c>
      <c r="GF82" s="107">
        <v>0</v>
      </c>
      <c r="GG82" s="107">
        <v>0</v>
      </c>
      <c r="GH82" s="107">
        <v>0</v>
      </c>
      <c r="GI82" s="107">
        <f t="shared" si="135"/>
        <v>540</v>
      </c>
      <c r="GJ82" s="107">
        <f t="shared" si="136"/>
        <v>0</v>
      </c>
      <c r="GK82" s="107">
        <f>ROUND(GK81-($I$17+$I$20)*GK81,0)</f>
        <v>117</v>
      </c>
      <c r="GL82" s="107">
        <v>0</v>
      </c>
      <c r="GM82" s="107">
        <v>0</v>
      </c>
      <c r="GN82" s="107">
        <v>0</v>
      </c>
      <c r="GO82" s="107">
        <v>0</v>
      </c>
      <c r="GP82" s="107">
        <f>IF($H$117="no",ROUND($I$20*GK82,0)*($I$18*$I$19),0)</f>
        <v>540</v>
      </c>
      <c r="GQ82" s="107">
        <f>IF($H$117="yes",ROUND(GK82*$I$17,0)*$I$18*$I$19,0)</f>
        <v>0</v>
      </c>
      <c r="GR82" s="107">
        <f>ROUND(GR81-($I$17+$I$20)*GR81,0)</f>
        <v>178</v>
      </c>
      <c r="GS82" s="107">
        <f>IF($H$120="yes",GR82*$FR$40,0)</f>
        <v>0</v>
      </c>
      <c r="GT82" s="107">
        <f>IF($H$120="no",GR82*$FS$40,0)</f>
        <v>43313.333333333336</v>
      </c>
      <c r="GU82" s="107">
        <v>0</v>
      </c>
      <c r="GV82" s="107">
        <v>0</v>
      </c>
      <c r="GW82" s="107">
        <f>IF($H$117="no",ROUND($I$20*GR82,0)*($I$18*$I$19),0)</f>
        <v>1080</v>
      </c>
      <c r="GX82" s="107">
        <f>IF($H$117="yes",ROUND(GR82*$I$17,0)*$I$18*$I$19,0)</f>
        <v>0</v>
      </c>
      <c r="GY82" s="107">
        <f>ROUND(GY81-($I$17+$I$20)*GY81,0)</f>
        <v>269</v>
      </c>
      <c r="GZ82" s="107">
        <f>IF($H$120="yes",GY82*$FR$39,0)</f>
        <v>0</v>
      </c>
      <c r="HA82" s="107">
        <f>IF($H$120="no",GY82*$FS$39,0)</f>
        <v>130913.33333333334</v>
      </c>
      <c r="HB82" s="107">
        <f>IF($H$120="yes",ROUND($I$17*GY82,0)*($FR$40),ROUND($I$17*GY82,0)*($FS$40))</f>
        <v>21656.666666666668</v>
      </c>
      <c r="HC82" s="107">
        <f>IF($H$120="yes",ROUND($I$20*GY82,0)*($FR$40),ROUND($I$20*GY82,0)*($FS$40))</f>
        <v>730</v>
      </c>
      <c r="HD82" s="107">
        <f>IF($H$117="no",ROUND($I$20*GY82,0)*($I$18*$I$19),0)</f>
        <v>1620</v>
      </c>
      <c r="HE82" s="107">
        <f>IF($H$117="yes",ROUND(GY82*$I$17,0)*$I$18*$I$19,0)</f>
        <v>0</v>
      </c>
      <c r="HF82" s="107">
        <f>ROUND($I$7*($I$17+$I$20),0)</f>
        <v>408</v>
      </c>
      <c r="HG82" s="107">
        <f>IF($H$120="yes",HF82*$FR$38,0)</f>
        <v>0</v>
      </c>
      <c r="HH82" s="107">
        <f>IF($H$120="no",HF82*$FS$38,0)</f>
        <v>297840</v>
      </c>
      <c r="HI82" s="107">
        <f>IF($H$120="yes",ROUND($I$17*HF82,0)*($FR$39+$FR$40),ROUND($I$17*HF82,0)*($FS$39+$FS$40))</f>
        <v>98550</v>
      </c>
      <c r="HJ82" s="107">
        <f>IF($H$120="yes",ROUND($I$20*HF82,0)*($FR$39+$FR$40),ROUND($I$20*HF82,0)*($FS$39+$FS$40))</f>
        <v>2920</v>
      </c>
      <c r="HK82" s="107">
        <f>IF($H$117="no",ROUND($I$20*HF82,0)*($I$18*$I$19),0)</f>
        <v>2160</v>
      </c>
      <c r="HL82" s="107">
        <f>IF($H$117="yes",ROUND(HF82*$I$17,0)*$I$18*$I$19,0)</f>
        <v>0</v>
      </c>
      <c r="HM82" s="107">
        <v>0</v>
      </c>
      <c r="HN82" s="107">
        <v>0</v>
      </c>
      <c r="HO82" s="107">
        <v>0</v>
      </c>
      <c r="HP82" s="107">
        <v>0</v>
      </c>
      <c r="HQ82" s="107">
        <v>0</v>
      </c>
      <c r="HR82" s="107">
        <v>0</v>
      </c>
      <c r="HS82" s="107">
        <v>0</v>
      </c>
      <c r="HT82" s="107">
        <f t="shared" si="119"/>
        <v>472066.6666666667</v>
      </c>
      <c r="HU82" s="107">
        <f t="shared" si="120"/>
        <v>123856.66666666667</v>
      </c>
      <c r="HV82" s="107">
        <f t="shared" si="121"/>
        <v>6480</v>
      </c>
      <c r="HW82" s="383">
        <f t="shared" si="122"/>
        <v>0</v>
      </c>
      <c r="HX82" s="70">
        <f t="shared" si="123"/>
        <v>602403.3333333334</v>
      </c>
    </row>
    <row r="83" spans="1:232" ht="17.25" thickBot="1" thickTop="1">
      <c r="A83" s="479">
        <f>A18</f>
        <v>1200</v>
      </c>
      <c r="B83" s="416" t="s">
        <v>392</v>
      </c>
      <c r="C83" s="411" t="s">
        <v>32</v>
      </c>
      <c r="D83" s="484">
        <v>625</v>
      </c>
      <c r="E83" s="367">
        <f>D83*A83</f>
        <v>750000</v>
      </c>
      <c r="G83" s="394" t="s">
        <v>393</v>
      </c>
      <c r="H83" s="440"/>
      <c r="I83" s="502">
        <v>1</v>
      </c>
      <c r="J83" s="203"/>
      <c r="K83" s="254">
        <f>IF(($T$3+$Y$3+$AD$3+$AI$3+$AN$3+$AT$3+$AY$3+$BD$3+$BI$3+$BN$3+$BT$3+$BY$3+$CD$3+$CI$3+$CN$3+$CT$3+$CY$3)&gt;=$E$163,17,100)</f>
        <v>17</v>
      </c>
      <c r="L83" s="260"/>
      <c r="M83" s="118"/>
      <c r="N83" s="118"/>
      <c r="O83" s="114"/>
      <c r="P83" s="114"/>
      <c r="Q83" s="118"/>
      <c r="R83" s="118"/>
      <c r="DT83" s="62">
        <v>17</v>
      </c>
      <c r="DU83" s="107">
        <f>($CY$13)*(1-$I$129)</f>
        <v>2990398.779035927</v>
      </c>
      <c r="DV83" s="107">
        <f>($CY$36)*(1-$I$129)</f>
        <v>2400762.7590316283</v>
      </c>
      <c r="DW83" s="107">
        <f>($CY$44)*(1-$I$129)</f>
        <v>18627.839999999997</v>
      </c>
      <c r="DX83" s="107">
        <f>($CY$45)*(1-$I$129)</f>
        <v>19483.199999999997</v>
      </c>
      <c r="DY83" s="107">
        <f>($CY$46)*(1-$I$129)</f>
        <v>10454.4</v>
      </c>
      <c r="DZ83" s="10">
        <f t="shared" si="124"/>
        <v>236335.596969697</v>
      </c>
      <c r="EA83" s="79">
        <f t="shared" si="125"/>
        <v>777406.1769739958</v>
      </c>
      <c r="FH83" s="71">
        <v>20</v>
      </c>
      <c r="FI83" s="300">
        <f t="shared" si="128"/>
        <v>15</v>
      </c>
      <c r="FJ83" s="300">
        <v>0</v>
      </c>
      <c r="FK83" s="300">
        <v>0</v>
      </c>
      <c r="FL83" s="300">
        <v>0</v>
      </c>
      <c r="FM83" s="300">
        <v>0</v>
      </c>
      <c r="FN83" s="300">
        <f t="shared" si="126"/>
        <v>0</v>
      </c>
      <c r="FO83" s="300">
        <f t="shared" si="127"/>
        <v>0</v>
      </c>
      <c r="FP83" s="300">
        <f t="shared" si="131"/>
        <v>22</v>
      </c>
      <c r="FQ83" s="300">
        <v>0</v>
      </c>
      <c r="FR83" s="300">
        <v>0</v>
      </c>
      <c r="FS83" s="300">
        <v>0</v>
      </c>
      <c r="FT83" s="300">
        <v>0</v>
      </c>
      <c r="FU83" s="300">
        <f t="shared" si="129"/>
        <v>0</v>
      </c>
      <c r="FV83" s="300">
        <f t="shared" si="130"/>
        <v>0</v>
      </c>
      <c r="FW83" s="300">
        <f t="shared" si="134"/>
        <v>34</v>
      </c>
      <c r="FX83" s="300">
        <v>0</v>
      </c>
      <c r="FY83" s="300">
        <v>0</v>
      </c>
      <c r="FZ83" s="300">
        <v>0</v>
      </c>
      <c r="GA83" s="300">
        <v>0</v>
      </c>
      <c r="GB83" s="300">
        <f t="shared" si="132"/>
        <v>0</v>
      </c>
      <c r="GC83" s="300">
        <f t="shared" si="133"/>
        <v>0</v>
      </c>
      <c r="GD83" s="300">
        <f>ROUND(GD82-($I$17+$I$20)*GD82,0)</f>
        <v>51</v>
      </c>
      <c r="GE83" s="300">
        <v>0</v>
      </c>
      <c r="GF83" s="300">
        <v>0</v>
      </c>
      <c r="GG83" s="300">
        <v>0</v>
      </c>
      <c r="GH83" s="300">
        <v>0</v>
      </c>
      <c r="GI83" s="300">
        <f t="shared" si="135"/>
        <v>540</v>
      </c>
      <c r="GJ83" s="300">
        <f t="shared" si="136"/>
        <v>0</v>
      </c>
      <c r="GK83" s="300">
        <f>ROUND(GK82-($I$17+$I$20)*GK82,0)</f>
        <v>77</v>
      </c>
      <c r="GL83" s="300">
        <v>0</v>
      </c>
      <c r="GM83" s="300">
        <v>0</v>
      </c>
      <c r="GN83" s="300">
        <v>0</v>
      </c>
      <c r="GO83" s="300">
        <v>0</v>
      </c>
      <c r="GP83" s="300">
        <f>IF($H$117="no",ROUND($I$20*GK83,0)*($I$18*$I$19),0)</f>
        <v>540</v>
      </c>
      <c r="GQ83" s="300">
        <f>IF($H$117="yes",ROUND(GK83*$I$17,0)*$I$18*$I$19,0)</f>
        <v>0</v>
      </c>
      <c r="GR83" s="300">
        <f>ROUND(GR82-($I$17+$I$20)*GR82,0)</f>
        <v>117</v>
      </c>
      <c r="GS83" s="300">
        <v>0</v>
      </c>
      <c r="GT83" s="300">
        <v>0</v>
      </c>
      <c r="GU83" s="300">
        <v>0</v>
      </c>
      <c r="GV83" s="300">
        <v>0</v>
      </c>
      <c r="GW83" s="300">
        <f>IF($H$117="no",ROUND($I$20*GR83,0)*($I$18*$I$19),0)</f>
        <v>540</v>
      </c>
      <c r="GX83" s="300">
        <f>IF($H$117="yes",ROUND(GR83*$I$17,0)*$I$18*$I$19,0)</f>
        <v>0</v>
      </c>
      <c r="GY83" s="300">
        <f>ROUND(GY82-($I$17+$I$20)*GY82,0)</f>
        <v>178</v>
      </c>
      <c r="GZ83" s="300">
        <f>IF($H$120="yes",GY83*$FR$40,0)</f>
        <v>0</v>
      </c>
      <c r="HA83" s="300">
        <f>IF($H$120="no",GY83*$FS$40,0)</f>
        <v>43313.333333333336</v>
      </c>
      <c r="HB83" s="300">
        <v>0</v>
      </c>
      <c r="HC83" s="300">
        <v>0</v>
      </c>
      <c r="HD83" s="300">
        <f>IF($H$117="no",ROUND($I$20*GY83,0)*($I$18*$I$19),0)</f>
        <v>1080</v>
      </c>
      <c r="HE83" s="300">
        <f>IF($H$117="yes",ROUND(GY83*$I$17,0)*$I$18*$I$19,0)</f>
        <v>0</v>
      </c>
      <c r="HF83" s="300">
        <f>ROUND(HF82-($I$17+$I$20)*HF82,0)</f>
        <v>269</v>
      </c>
      <c r="HG83" s="300">
        <f>IF($H$120="yes",HF83*$FR$39,0)</f>
        <v>0</v>
      </c>
      <c r="HH83" s="300">
        <f>IF($H$120="no",HF83*$FS$39,0)</f>
        <v>130913.33333333334</v>
      </c>
      <c r="HI83" s="300">
        <f>IF($H$120="yes",ROUND($I$17*HF83,0)*($FR$40),ROUND($I$17*HF83,0)*($FS$40))</f>
        <v>21656.666666666668</v>
      </c>
      <c r="HJ83" s="300">
        <f>IF($H$120="yes",ROUND($I$20*HF83,0)*($FR$40),ROUND($I$20*HF83,0)*($FS$40))</f>
        <v>730</v>
      </c>
      <c r="HK83" s="300">
        <f>IF($H$117="no",ROUND($I$20*HF83,0)*($I$18*$I$19),0)</f>
        <v>1620</v>
      </c>
      <c r="HL83" s="300">
        <f>IF($H$117="yes",ROUND(HF83*$I$17,0)*$I$18*$I$19,0)</f>
        <v>0</v>
      </c>
      <c r="HM83" s="300">
        <f>ROUND($I$7*($I$17+$I$20),0)</f>
        <v>408</v>
      </c>
      <c r="HN83" s="300">
        <f>IF($H$120="yes",HM83*$FR$38,0)</f>
        <v>0</v>
      </c>
      <c r="HO83" s="300">
        <f>IF($H$120="no",HM83*$FS$38,0)</f>
        <v>297840</v>
      </c>
      <c r="HP83" s="300">
        <f>IF($H$120="yes",ROUND($I$17*HM83,0)*($FR$39+$FR$40),ROUND($I$17*HM83,0)*($FS$39+$FS$40))</f>
        <v>98550</v>
      </c>
      <c r="HQ83" s="300">
        <f>IF($H$120="yes",ROUND($I$20*HM83,0)*($FR$39+$FR$40),ROUND($I$20*HM83,0)*($FS$39+$FS$40))</f>
        <v>2920</v>
      </c>
      <c r="HR83" s="300">
        <f>IF($H$117="no",ROUND($I$20*HM83,0)*($I$18*$I$19),0)</f>
        <v>2160</v>
      </c>
      <c r="HS83" s="300">
        <f>IF($H$117="yes",ROUND(HM83*$I$17,0)*$I$18*$I$19,0)</f>
        <v>0</v>
      </c>
      <c r="HT83" s="300">
        <f t="shared" si="119"/>
        <v>472066.6666666667</v>
      </c>
      <c r="HU83" s="300">
        <f t="shared" si="120"/>
        <v>123856.66666666667</v>
      </c>
      <c r="HV83" s="300">
        <f t="shared" si="121"/>
        <v>6480</v>
      </c>
      <c r="HW83" s="384">
        <f t="shared" si="122"/>
        <v>0</v>
      </c>
      <c r="HX83" s="385">
        <f t="shared" si="123"/>
        <v>602403.3333333334</v>
      </c>
    </row>
    <row r="84" spans="1:229" ht="16.5" thickTop="1">
      <c r="A84" s="16"/>
      <c r="B84" s="412" t="s">
        <v>394</v>
      </c>
      <c r="C84" s="413"/>
      <c r="D84" s="125"/>
      <c r="E84" s="371"/>
      <c r="G84" s="394" t="s">
        <v>395</v>
      </c>
      <c r="H84" s="440"/>
      <c r="I84" s="502">
        <v>1</v>
      </c>
      <c r="J84" s="203"/>
      <c r="K84" s="254">
        <f>IF(($T$3+$Y$3+$AD$3+$AI$3+$AN$3+$AT$3+$AY$3+$BD$3+$BI$3+$BN$3+$BT$3+$BY$3+$CD$3+$CI$3+$CN$3+$CT$3+$CY$3+0.5*$DD$3)&gt;=$E$163,17.5,100)</f>
        <v>17.5</v>
      </c>
      <c r="L84" s="304"/>
      <c r="M84" s="116"/>
      <c r="N84" s="118"/>
      <c r="O84" s="113"/>
      <c r="P84" s="113"/>
      <c r="Q84" s="118"/>
      <c r="R84" s="118"/>
      <c r="DT84" s="62">
        <v>18</v>
      </c>
      <c r="DU84" s="107">
        <f>($DD$13)*(1-$I$129)</f>
        <v>3018359.5453262865</v>
      </c>
      <c r="DV84" s="107">
        <f>($DD$36)*(1-$I$129)</f>
        <v>2408009.363332081</v>
      </c>
      <c r="DW84" s="107">
        <f>($DD$44)*(1-$I$129)</f>
        <v>18627.839999999997</v>
      </c>
      <c r="DX84" s="107">
        <f>($DD$45)*(1-$I$129)</f>
        <v>19483.199999999997</v>
      </c>
      <c r="DY84" s="107">
        <f>($DD$46)*(1-$I$129)</f>
        <v>10454.4</v>
      </c>
      <c r="DZ84" s="10">
        <f t="shared" si="124"/>
        <v>223489.85606060608</v>
      </c>
      <c r="EA84" s="79">
        <f t="shared" si="125"/>
        <v>785274.5980548114</v>
      </c>
      <c r="FH84" s="75"/>
      <c r="FI84" s="96"/>
      <c r="FJ84" s="302"/>
      <c r="FK84" s="302"/>
      <c r="FL84" s="30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E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U84" s="205"/>
    </row>
    <row r="85" spans="1:165" ht="15.75">
      <c r="A85" s="16"/>
      <c r="B85" s="412" t="s">
        <v>396</v>
      </c>
      <c r="C85" s="413"/>
      <c r="D85" s="125"/>
      <c r="E85" s="371"/>
      <c r="G85" s="394" t="s">
        <v>397</v>
      </c>
      <c r="H85" s="440"/>
      <c r="I85" s="502">
        <v>1</v>
      </c>
      <c r="J85" s="203"/>
      <c r="K85" s="254">
        <f>IF(($T$3+$Y$3+$AD$3+$AI$3+$AN$3+$AT$3+$AY$3+$BD$3+$BI$3+$BN$3+$BT$3+$BY$3+$CD$3+$CI$3+$CN$3+$CT$3+$CY$3+$DD$3)&gt;=$E$163,18,100)</f>
        <v>18</v>
      </c>
      <c r="L85" s="305"/>
      <c r="M85" s="113"/>
      <c r="N85" s="113"/>
      <c r="O85" s="118"/>
      <c r="P85" s="118"/>
      <c r="Q85" s="118"/>
      <c r="R85" s="118"/>
      <c r="DT85" s="62">
        <v>19</v>
      </c>
      <c r="DU85" s="107">
        <f>($DI$13)*(1-$I$129)</f>
        <v>3046599.9192795493</v>
      </c>
      <c r="DV85" s="107">
        <f>($DI$36)*(1-$I$129)</f>
        <v>2415343.578400755</v>
      </c>
      <c r="DW85" s="107">
        <f>($DI$44)*(1-$I$129)</f>
        <v>18627.839999999997</v>
      </c>
      <c r="DX85" s="107">
        <f>($DI$45)*(1-$I$129)</f>
        <v>19483.199999999997</v>
      </c>
      <c r="DY85" s="107">
        <f>($DI$46)*(1-$I$129)</f>
        <v>10454.4</v>
      </c>
      <c r="DZ85" s="10">
        <f t="shared" si="124"/>
        <v>210644.11515151517</v>
      </c>
      <c r="EA85" s="79">
        <f t="shared" si="125"/>
        <v>793335.0160303097</v>
      </c>
      <c r="FI85" s="96"/>
    </row>
    <row r="86" spans="1:199" ht="16.5" thickBot="1">
      <c r="A86" s="16"/>
      <c r="B86" s="412" t="s">
        <v>398</v>
      </c>
      <c r="C86" s="413"/>
      <c r="D86" s="125"/>
      <c r="E86" s="371"/>
      <c r="G86" s="394" t="s">
        <v>399</v>
      </c>
      <c r="H86" s="440"/>
      <c r="I86" s="502">
        <v>1</v>
      </c>
      <c r="J86" s="203"/>
      <c r="K86" s="254">
        <f>IF(($T$3+$Y$3+$AD$3+$AI$3+$AN$3+$AT$3+$AY$3+$BD$3+$BI$3+$BN$3+$BT$3+$BY$3+$CD$3+$CI$3+$CN$3+$CT$3+$CY$3+$DD$3+0.5*$DI$3)&gt;=$E$163,18.5,100)</f>
        <v>18.5</v>
      </c>
      <c r="L86" s="305"/>
      <c r="M86" s="113"/>
      <c r="N86" s="113"/>
      <c r="O86" s="118"/>
      <c r="P86" s="118"/>
      <c r="Q86" s="119"/>
      <c r="R86" s="119"/>
      <c r="DT86" s="71">
        <v>20</v>
      </c>
      <c r="DU86" s="107">
        <f>($DN$13)*(1-$I$129)</f>
        <v>3075122.696972345</v>
      </c>
      <c r="DV86" s="107">
        <f>($DN$36)*(1-$I$129)</f>
        <v>2422766.3624582686</v>
      </c>
      <c r="DW86" s="107">
        <f>($DN$44)*(1-$I$129)</f>
        <v>18627.839999999997</v>
      </c>
      <c r="DX86" s="107">
        <f>($DN$45)*(1-$I$129)</f>
        <v>19483.199999999997</v>
      </c>
      <c r="DY86" s="107">
        <f>($DN$46)*(1-$I$129)</f>
        <v>10454.4</v>
      </c>
      <c r="DZ86" s="10">
        <f t="shared" si="124"/>
        <v>207730.6242424243</v>
      </c>
      <c r="EA86" s="79">
        <f t="shared" si="125"/>
        <v>811521.5187565009</v>
      </c>
      <c r="FH86" s="58" t="s">
        <v>400</v>
      </c>
      <c r="FM86" s="89"/>
      <c r="FN86" s="89"/>
      <c r="FO86" s="89"/>
      <c r="FP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</row>
    <row r="87" spans="1:249" ht="17.25" thickBot="1" thickTop="1">
      <c r="A87" s="17"/>
      <c r="B87" s="414" t="s">
        <v>401</v>
      </c>
      <c r="C87" s="415"/>
      <c r="D87" s="417"/>
      <c r="E87" s="372"/>
      <c r="G87" s="394" t="s">
        <v>402</v>
      </c>
      <c r="H87" s="440"/>
      <c r="I87" s="502">
        <v>1</v>
      </c>
      <c r="J87" s="203"/>
      <c r="K87" s="254">
        <f>IF(($T$3+$Y$3+$AD$3+$AI$3+$AN$3+$AT$3+$AY$3+$BD$3+$BI$3+$BN$3+$BT$3+$BY$3+$CD$3+$CI$3+$CN$3+$CT$3+$CY$3+$DD$3+$DI$3)&gt;=$E$163,19,100)</f>
        <v>19</v>
      </c>
      <c r="L87" s="306"/>
      <c r="M87" s="116"/>
      <c r="N87" s="118"/>
      <c r="O87" s="113"/>
      <c r="P87" s="113"/>
      <c r="Q87" s="114"/>
      <c r="R87" s="114"/>
      <c r="DT87" s="72" t="s">
        <v>167</v>
      </c>
      <c r="DU87" s="73">
        <f aca="true" t="shared" si="137" ref="DU87:EA87">SUM(DU67:DU86)</f>
        <v>56391938.24420679</v>
      </c>
      <c r="DV87" s="73">
        <f t="shared" si="137"/>
        <v>47141585.14698396</v>
      </c>
      <c r="DW87" s="73">
        <f t="shared" si="137"/>
        <v>372556.7999999998</v>
      </c>
      <c r="DX87" s="73">
        <f t="shared" si="137"/>
        <v>389664.0000000001</v>
      </c>
      <c r="DY87" s="73">
        <f t="shared" si="137"/>
        <v>209087.99999999994</v>
      </c>
      <c r="DZ87" s="74">
        <f t="shared" si="137"/>
        <v>5607315.926666667</v>
      </c>
      <c r="EA87" s="74">
        <f t="shared" si="137"/>
        <v>13886360.223889505</v>
      </c>
      <c r="FH87" s="59"/>
      <c r="FI87" s="84" t="s">
        <v>45</v>
      </c>
      <c r="FJ87" s="84" t="s">
        <v>185</v>
      </c>
      <c r="FK87" s="84" t="s">
        <v>185</v>
      </c>
      <c r="FL87" s="84" t="s">
        <v>19</v>
      </c>
      <c r="FM87" s="84" t="s">
        <v>19</v>
      </c>
      <c r="FN87" s="84" t="s">
        <v>186</v>
      </c>
      <c r="FO87" s="84" t="s">
        <v>186</v>
      </c>
      <c r="FP87" s="84" t="s">
        <v>187</v>
      </c>
      <c r="FQ87" s="84" t="s">
        <v>188</v>
      </c>
      <c r="FR87" s="84" t="s">
        <v>185</v>
      </c>
      <c r="FS87" s="84" t="s">
        <v>185</v>
      </c>
      <c r="FT87" s="84" t="s">
        <v>189</v>
      </c>
      <c r="FU87" s="84" t="s">
        <v>19</v>
      </c>
      <c r="FV87" s="84" t="s">
        <v>19</v>
      </c>
      <c r="FW87" s="84" t="s">
        <v>186</v>
      </c>
      <c r="FX87" s="84" t="s">
        <v>186</v>
      </c>
      <c r="FY87" s="84" t="s">
        <v>187</v>
      </c>
      <c r="FZ87" s="84" t="s">
        <v>188</v>
      </c>
      <c r="GA87" s="84" t="s">
        <v>190</v>
      </c>
      <c r="GB87" s="84" t="s">
        <v>19</v>
      </c>
      <c r="GC87" s="84" t="s">
        <v>19</v>
      </c>
      <c r="GD87" s="84" t="s">
        <v>186</v>
      </c>
      <c r="GE87" s="84" t="s">
        <v>186</v>
      </c>
      <c r="GF87" s="84" t="s">
        <v>187</v>
      </c>
      <c r="GG87" s="84" t="s">
        <v>188</v>
      </c>
      <c r="GH87" s="84" t="s">
        <v>191</v>
      </c>
      <c r="GI87" s="84" t="s">
        <v>19</v>
      </c>
      <c r="GJ87" s="84" t="s">
        <v>19</v>
      </c>
      <c r="GK87" s="84" t="s">
        <v>186</v>
      </c>
      <c r="GL87" s="84" t="s">
        <v>186</v>
      </c>
      <c r="GM87" s="84" t="s">
        <v>187</v>
      </c>
      <c r="GN87" s="84" t="s">
        <v>188</v>
      </c>
      <c r="GO87" s="84" t="s">
        <v>192</v>
      </c>
      <c r="GP87" s="84" t="s">
        <v>19</v>
      </c>
      <c r="GQ87" s="84" t="s">
        <v>19</v>
      </c>
      <c r="GR87" s="84" t="s">
        <v>186</v>
      </c>
      <c r="GS87" s="84" t="s">
        <v>186</v>
      </c>
      <c r="GT87" s="84" t="s">
        <v>187</v>
      </c>
      <c r="GU87" s="84" t="s">
        <v>188</v>
      </c>
      <c r="GV87" s="84" t="s">
        <v>193</v>
      </c>
      <c r="GW87" s="84" t="s">
        <v>19</v>
      </c>
      <c r="GX87" s="84" t="s">
        <v>19</v>
      </c>
      <c r="GY87" s="84" t="s">
        <v>186</v>
      </c>
      <c r="GZ87" s="84" t="s">
        <v>186</v>
      </c>
      <c r="HA87" s="84" t="s">
        <v>187</v>
      </c>
      <c r="HB87" s="84" t="s">
        <v>188</v>
      </c>
      <c r="HC87" s="84" t="s">
        <v>194</v>
      </c>
      <c r="HD87" s="84" t="s">
        <v>19</v>
      </c>
      <c r="HE87" s="84" t="s">
        <v>19</v>
      </c>
      <c r="HF87" s="84" t="s">
        <v>186</v>
      </c>
      <c r="HG87" s="84" t="s">
        <v>186</v>
      </c>
      <c r="HH87" s="84" t="s">
        <v>187</v>
      </c>
      <c r="HI87" s="84" t="s">
        <v>188</v>
      </c>
      <c r="HJ87" s="84" t="s">
        <v>195</v>
      </c>
      <c r="HK87" s="84" t="s">
        <v>19</v>
      </c>
      <c r="HL87" s="84" t="s">
        <v>19</v>
      </c>
      <c r="HM87" s="84" t="s">
        <v>186</v>
      </c>
      <c r="HN87" s="84" t="s">
        <v>186</v>
      </c>
      <c r="HO87" s="84" t="s">
        <v>187</v>
      </c>
      <c r="HP87" s="84" t="s">
        <v>188</v>
      </c>
      <c r="HQ87" s="84" t="s">
        <v>196</v>
      </c>
      <c r="HR87" s="84" t="s">
        <v>19</v>
      </c>
      <c r="HS87" s="84" t="s">
        <v>19</v>
      </c>
      <c r="HT87" s="84" t="s">
        <v>186</v>
      </c>
      <c r="HU87" s="84" t="s">
        <v>186</v>
      </c>
      <c r="HV87" s="84" t="s">
        <v>187</v>
      </c>
      <c r="HW87" s="84" t="s">
        <v>188</v>
      </c>
      <c r="HX87" s="84" t="s">
        <v>197</v>
      </c>
      <c r="HY87" s="84" t="s">
        <v>19</v>
      </c>
      <c r="HZ87" s="84" t="s">
        <v>19</v>
      </c>
      <c r="IA87" s="84" t="s">
        <v>186</v>
      </c>
      <c r="IB87" s="84" t="s">
        <v>186</v>
      </c>
      <c r="IC87" s="84" t="s">
        <v>187</v>
      </c>
      <c r="ID87" s="84" t="s">
        <v>188</v>
      </c>
      <c r="IE87" s="84" t="s">
        <v>198</v>
      </c>
      <c r="IF87" s="84" t="s">
        <v>19</v>
      </c>
      <c r="IG87" s="84" t="s">
        <v>19</v>
      </c>
      <c r="IH87" s="84" t="s">
        <v>186</v>
      </c>
      <c r="II87" s="84" t="s">
        <v>186</v>
      </c>
      <c r="IJ87" s="84" t="s">
        <v>187</v>
      </c>
      <c r="IK87" s="84" t="s">
        <v>188</v>
      </c>
      <c r="IL87" s="84" t="s">
        <v>19</v>
      </c>
      <c r="IM87" s="84" t="s">
        <v>19</v>
      </c>
      <c r="IN87" s="84" t="s">
        <v>19</v>
      </c>
      <c r="IO87" s="85" t="s">
        <v>19</v>
      </c>
    </row>
    <row r="88" spans="1:249" ht="16.5" thickTop="1">
      <c r="A88" s="13"/>
      <c r="B88" s="418"/>
      <c r="C88" s="425"/>
      <c r="D88" s="376" t="s">
        <v>104</v>
      </c>
      <c r="E88" s="368">
        <f>ROUND(SUM(E83:E83),0)</f>
        <v>750000</v>
      </c>
      <c r="G88" s="394" t="s">
        <v>403</v>
      </c>
      <c r="H88" s="440"/>
      <c r="I88" s="502">
        <v>1</v>
      </c>
      <c r="J88" s="203"/>
      <c r="K88" s="254">
        <f>IF(($T$3+$Y$3+$AD$3+$AI$3+$AN$3+$AT$3+$AY$3+$BD$3+$BI$3+$BN$3+$BT$3+$BY$3+$CD$3+$CI$3+$CN$3+$CT$3+$CY$3+$DD$3+$DI$3+0.5*$DN$3)&gt;=$E$163,19.5,100)</f>
        <v>19.5</v>
      </c>
      <c r="L88" s="304"/>
      <c r="M88" s="116"/>
      <c r="N88" s="118"/>
      <c r="O88" s="113"/>
      <c r="P88" s="113"/>
      <c r="Q88" s="115"/>
      <c r="R88" s="115"/>
      <c r="FH88" s="62"/>
      <c r="FI88" s="86" t="s">
        <v>121</v>
      </c>
      <c r="FJ88" s="86" t="s">
        <v>204</v>
      </c>
      <c r="FK88" s="86" t="s">
        <v>205</v>
      </c>
      <c r="FL88" s="86" t="s">
        <v>204</v>
      </c>
      <c r="FM88" s="86" t="s">
        <v>205</v>
      </c>
      <c r="FN88" s="86" t="s">
        <v>206</v>
      </c>
      <c r="FO88" s="86" t="s">
        <v>206</v>
      </c>
      <c r="FP88" s="86" t="s">
        <v>207</v>
      </c>
      <c r="FQ88" s="86" t="s">
        <v>207</v>
      </c>
      <c r="FR88" s="86" t="s">
        <v>204</v>
      </c>
      <c r="FS88" s="86" t="s">
        <v>205</v>
      </c>
      <c r="FT88" s="86" t="s">
        <v>127</v>
      </c>
      <c r="FU88" s="86" t="s">
        <v>204</v>
      </c>
      <c r="FV88" s="86" t="s">
        <v>205</v>
      </c>
      <c r="FW88" s="86" t="s">
        <v>206</v>
      </c>
      <c r="FX88" s="86" t="s">
        <v>206</v>
      </c>
      <c r="FY88" s="86" t="s">
        <v>207</v>
      </c>
      <c r="FZ88" s="86" t="s">
        <v>207</v>
      </c>
      <c r="GA88" s="86" t="s">
        <v>127</v>
      </c>
      <c r="GB88" s="86" t="s">
        <v>204</v>
      </c>
      <c r="GC88" s="86" t="s">
        <v>205</v>
      </c>
      <c r="GD88" s="86" t="s">
        <v>206</v>
      </c>
      <c r="GE88" s="86" t="s">
        <v>206</v>
      </c>
      <c r="GF88" s="86" t="s">
        <v>207</v>
      </c>
      <c r="GG88" s="86" t="s">
        <v>207</v>
      </c>
      <c r="GH88" s="86" t="s">
        <v>127</v>
      </c>
      <c r="GI88" s="86" t="s">
        <v>204</v>
      </c>
      <c r="GJ88" s="86" t="s">
        <v>205</v>
      </c>
      <c r="GK88" s="86" t="s">
        <v>206</v>
      </c>
      <c r="GL88" s="86" t="s">
        <v>206</v>
      </c>
      <c r="GM88" s="86" t="s">
        <v>207</v>
      </c>
      <c r="GN88" s="86" t="s">
        <v>207</v>
      </c>
      <c r="GO88" s="86" t="s">
        <v>127</v>
      </c>
      <c r="GP88" s="86" t="s">
        <v>204</v>
      </c>
      <c r="GQ88" s="86" t="s">
        <v>205</v>
      </c>
      <c r="GR88" s="86" t="s">
        <v>206</v>
      </c>
      <c r="GS88" s="86" t="s">
        <v>206</v>
      </c>
      <c r="GT88" s="86" t="s">
        <v>207</v>
      </c>
      <c r="GU88" s="86" t="s">
        <v>207</v>
      </c>
      <c r="GV88" s="86" t="s">
        <v>127</v>
      </c>
      <c r="GW88" s="86" t="s">
        <v>204</v>
      </c>
      <c r="GX88" s="86" t="s">
        <v>205</v>
      </c>
      <c r="GY88" s="86" t="s">
        <v>206</v>
      </c>
      <c r="GZ88" s="86" t="s">
        <v>206</v>
      </c>
      <c r="HA88" s="86" t="s">
        <v>207</v>
      </c>
      <c r="HB88" s="86" t="s">
        <v>207</v>
      </c>
      <c r="HC88" s="86" t="s">
        <v>127</v>
      </c>
      <c r="HD88" s="86" t="s">
        <v>204</v>
      </c>
      <c r="HE88" s="86" t="s">
        <v>205</v>
      </c>
      <c r="HF88" s="86" t="s">
        <v>206</v>
      </c>
      <c r="HG88" s="86" t="s">
        <v>206</v>
      </c>
      <c r="HH88" s="86" t="s">
        <v>207</v>
      </c>
      <c r="HI88" s="86" t="s">
        <v>207</v>
      </c>
      <c r="HJ88" s="86" t="s">
        <v>127</v>
      </c>
      <c r="HK88" s="86" t="s">
        <v>204</v>
      </c>
      <c r="HL88" s="86" t="s">
        <v>205</v>
      </c>
      <c r="HM88" s="86" t="s">
        <v>206</v>
      </c>
      <c r="HN88" s="86" t="s">
        <v>206</v>
      </c>
      <c r="HO88" s="86" t="s">
        <v>207</v>
      </c>
      <c r="HP88" s="86" t="s">
        <v>207</v>
      </c>
      <c r="HQ88" s="86" t="s">
        <v>127</v>
      </c>
      <c r="HR88" s="86" t="s">
        <v>204</v>
      </c>
      <c r="HS88" s="86" t="s">
        <v>205</v>
      </c>
      <c r="HT88" s="86" t="s">
        <v>206</v>
      </c>
      <c r="HU88" s="86" t="s">
        <v>206</v>
      </c>
      <c r="HV88" s="86" t="s">
        <v>207</v>
      </c>
      <c r="HW88" s="86" t="s">
        <v>207</v>
      </c>
      <c r="HX88" s="86" t="s">
        <v>127</v>
      </c>
      <c r="HY88" s="86" t="s">
        <v>204</v>
      </c>
      <c r="HZ88" s="86" t="s">
        <v>205</v>
      </c>
      <c r="IA88" s="86" t="s">
        <v>206</v>
      </c>
      <c r="IB88" s="86" t="s">
        <v>206</v>
      </c>
      <c r="IC88" s="86" t="s">
        <v>207</v>
      </c>
      <c r="ID88" s="86" t="s">
        <v>207</v>
      </c>
      <c r="IE88" s="86" t="s">
        <v>127</v>
      </c>
      <c r="IF88" s="86" t="s">
        <v>204</v>
      </c>
      <c r="IG88" s="86" t="s">
        <v>205</v>
      </c>
      <c r="IH88" s="86" t="s">
        <v>206</v>
      </c>
      <c r="II88" s="86" t="s">
        <v>206</v>
      </c>
      <c r="IJ88" s="86" t="s">
        <v>207</v>
      </c>
      <c r="IK88" s="86" t="s">
        <v>207</v>
      </c>
      <c r="IL88" s="86" t="s">
        <v>27</v>
      </c>
      <c r="IM88" s="86" t="s">
        <v>206</v>
      </c>
      <c r="IN88" s="86" t="s">
        <v>207</v>
      </c>
      <c r="IO88" s="87" t="s">
        <v>207</v>
      </c>
    </row>
    <row r="89" spans="1:249" ht="16.5" thickBot="1">
      <c r="A89" s="1" t="s">
        <v>268</v>
      </c>
      <c r="B89" s="418"/>
      <c r="C89" s="425"/>
      <c r="D89" s="376"/>
      <c r="E89" s="368"/>
      <c r="G89" s="399" t="s">
        <v>389</v>
      </c>
      <c r="H89" s="440"/>
      <c r="I89" s="520">
        <v>1</v>
      </c>
      <c r="J89" s="203"/>
      <c r="K89" s="255">
        <f>IF(($T$3+$Y$3+$AD$3+$AI$3+$AN$3+$AT$3+$AY$3+$BD$3+$BI$3+$BN$3+$BT$3+$BY$3+$CD$3+$CI$3+$CN$3+$CT$3+$CY$3+$DD$3+$DI$3+$DN$3)&gt;=$E$163,20,100)</f>
        <v>20</v>
      </c>
      <c r="L89" s="304"/>
      <c r="M89" s="116"/>
      <c r="N89" s="118"/>
      <c r="O89" s="113"/>
      <c r="P89" s="113"/>
      <c r="Q89" s="115"/>
      <c r="R89" s="115"/>
      <c r="FH89" s="65"/>
      <c r="FI89" s="86" t="s">
        <v>216</v>
      </c>
      <c r="FJ89" s="86" t="s">
        <v>27</v>
      </c>
      <c r="FK89" s="86" t="s">
        <v>27</v>
      </c>
      <c r="FL89" s="86" t="s">
        <v>27</v>
      </c>
      <c r="FM89" s="86" t="s">
        <v>27</v>
      </c>
      <c r="FN89" s="86" t="s">
        <v>217</v>
      </c>
      <c r="FO89" s="86" t="s">
        <v>217</v>
      </c>
      <c r="FP89" s="86" t="s">
        <v>218</v>
      </c>
      <c r="FQ89" s="86" t="s">
        <v>219</v>
      </c>
      <c r="FR89" s="86" t="s">
        <v>27</v>
      </c>
      <c r="FS89" s="86" t="s">
        <v>27</v>
      </c>
      <c r="FT89" s="86" t="s">
        <v>216</v>
      </c>
      <c r="FU89" s="86" t="s">
        <v>27</v>
      </c>
      <c r="FV89" s="86" t="s">
        <v>27</v>
      </c>
      <c r="FW89" s="86" t="s">
        <v>217</v>
      </c>
      <c r="FX89" s="86" t="s">
        <v>217</v>
      </c>
      <c r="FY89" s="86" t="s">
        <v>218</v>
      </c>
      <c r="FZ89" s="86" t="s">
        <v>219</v>
      </c>
      <c r="GA89" s="86" t="s">
        <v>216</v>
      </c>
      <c r="GB89" s="86" t="s">
        <v>27</v>
      </c>
      <c r="GC89" s="86" t="s">
        <v>27</v>
      </c>
      <c r="GD89" s="86" t="s">
        <v>217</v>
      </c>
      <c r="GE89" s="86" t="s">
        <v>217</v>
      </c>
      <c r="GF89" s="86" t="s">
        <v>218</v>
      </c>
      <c r="GG89" s="86" t="s">
        <v>219</v>
      </c>
      <c r="GH89" s="86" t="s">
        <v>216</v>
      </c>
      <c r="GI89" s="86" t="s">
        <v>27</v>
      </c>
      <c r="GJ89" s="86" t="s">
        <v>27</v>
      </c>
      <c r="GK89" s="86" t="s">
        <v>217</v>
      </c>
      <c r="GL89" s="86" t="s">
        <v>217</v>
      </c>
      <c r="GM89" s="86" t="s">
        <v>218</v>
      </c>
      <c r="GN89" s="86" t="s">
        <v>219</v>
      </c>
      <c r="GO89" s="86" t="s">
        <v>216</v>
      </c>
      <c r="GP89" s="86" t="s">
        <v>27</v>
      </c>
      <c r="GQ89" s="86" t="s">
        <v>27</v>
      </c>
      <c r="GR89" s="86" t="s">
        <v>217</v>
      </c>
      <c r="GS89" s="86" t="s">
        <v>217</v>
      </c>
      <c r="GT89" s="86" t="s">
        <v>218</v>
      </c>
      <c r="GU89" s="86" t="s">
        <v>219</v>
      </c>
      <c r="GV89" s="86" t="s">
        <v>216</v>
      </c>
      <c r="GW89" s="86" t="s">
        <v>27</v>
      </c>
      <c r="GX89" s="86" t="s">
        <v>27</v>
      </c>
      <c r="GY89" s="86" t="s">
        <v>217</v>
      </c>
      <c r="GZ89" s="86" t="s">
        <v>217</v>
      </c>
      <c r="HA89" s="86" t="s">
        <v>218</v>
      </c>
      <c r="HB89" s="86" t="s">
        <v>219</v>
      </c>
      <c r="HC89" s="86" t="s">
        <v>216</v>
      </c>
      <c r="HD89" s="86" t="s">
        <v>27</v>
      </c>
      <c r="HE89" s="86" t="s">
        <v>27</v>
      </c>
      <c r="HF89" s="86" t="s">
        <v>217</v>
      </c>
      <c r="HG89" s="86" t="s">
        <v>217</v>
      </c>
      <c r="HH89" s="86" t="s">
        <v>218</v>
      </c>
      <c r="HI89" s="86" t="s">
        <v>219</v>
      </c>
      <c r="HJ89" s="86" t="s">
        <v>216</v>
      </c>
      <c r="HK89" s="86" t="s">
        <v>27</v>
      </c>
      <c r="HL89" s="86" t="s">
        <v>27</v>
      </c>
      <c r="HM89" s="86" t="s">
        <v>217</v>
      </c>
      <c r="HN89" s="86" t="s">
        <v>217</v>
      </c>
      <c r="HO89" s="86" t="s">
        <v>218</v>
      </c>
      <c r="HP89" s="86" t="s">
        <v>219</v>
      </c>
      <c r="HQ89" s="86" t="s">
        <v>216</v>
      </c>
      <c r="HR89" s="86" t="s">
        <v>27</v>
      </c>
      <c r="HS89" s="86" t="s">
        <v>27</v>
      </c>
      <c r="HT89" s="86" t="s">
        <v>217</v>
      </c>
      <c r="HU89" s="86" t="s">
        <v>217</v>
      </c>
      <c r="HV89" s="86" t="s">
        <v>218</v>
      </c>
      <c r="HW89" s="86" t="s">
        <v>219</v>
      </c>
      <c r="HX89" s="86" t="s">
        <v>216</v>
      </c>
      <c r="HY89" s="86" t="s">
        <v>27</v>
      </c>
      <c r="HZ89" s="86" t="s">
        <v>27</v>
      </c>
      <c r="IA89" s="86" t="s">
        <v>217</v>
      </c>
      <c r="IB89" s="86" t="s">
        <v>217</v>
      </c>
      <c r="IC89" s="86" t="s">
        <v>218</v>
      </c>
      <c r="ID89" s="86" t="s">
        <v>219</v>
      </c>
      <c r="IE89" s="86" t="s">
        <v>216</v>
      </c>
      <c r="IF89" s="86" t="s">
        <v>27</v>
      </c>
      <c r="IG89" s="86" t="s">
        <v>27</v>
      </c>
      <c r="IH89" s="86" t="s">
        <v>217</v>
      </c>
      <c r="II89" s="86" t="s">
        <v>217</v>
      </c>
      <c r="IJ89" s="86" t="s">
        <v>218</v>
      </c>
      <c r="IK89" s="86" t="s">
        <v>219</v>
      </c>
      <c r="IL89" s="86" t="s">
        <v>220</v>
      </c>
      <c r="IM89" s="86" t="s">
        <v>27</v>
      </c>
      <c r="IN89" s="86" t="s">
        <v>221</v>
      </c>
      <c r="IO89" s="87" t="s">
        <v>222</v>
      </c>
    </row>
    <row r="90" spans="1:249" ht="17.25" thickBot="1" thickTop="1">
      <c r="A90" s="1" t="s">
        <v>404</v>
      </c>
      <c r="B90" s="418"/>
      <c r="C90" s="425"/>
      <c r="D90" s="365"/>
      <c r="E90" s="364"/>
      <c r="G90" s="56" t="s">
        <v>405</v>
      </c>
      <c r="H90" s="445" t="s">
        <v>406</v>
      </c>
      <c r="I90" s="200" t="s">
        <v>407</v>
      </c>
      <c r="J90" s="203"/>
      <c r="K90" s="331" t="s">
        <v>408</v>
      </c>
      <c r="L90" s="335"/>
      <c r="M90" s="116"/>
      <c r="N90" s="118"/>
      <c r="O90" s="113"/>
      <c r="P90" s="113"/>
      <c r="Q90" s="115"/>
      <c r="R90" s="115"/>
      <c r="FH90" s="66" t="s">
        <v>69</v>
      </c>
      <c r="FI90" s="88" t="s">
        <v>230</v>
      </c>
      <c r="FJ90" s="88" t="s">
        <v>231</v>
      </c>
      <c r="FK90" s="88" t="s">
        <v>231</v>
      </c>
      <c r="FL90" s="88" t="s">
        <v>220</v>
      </c>
      <c r="FM90" s="88" t="s">
        <v>220</v>
      </c>
      <c r="FN90" s="88" t="s">
        <v>232</v>
      </c>
      <c r="FO90" s="88" t="s">
        <v>233</v>
      </c>
      <c r="FP90" s="88" t="s">
        <v>233</v>
      </c>
      <c r="FQ90" s="88" t="s">
        <v>232</v>
      </c>
      <c r="FR90" s="88" t="s">
        <v>231</v>
      </c>
      <c r="FS90" s="88" t="s">
        <v>231</v>
      </c>
      <c r="FT90" s="88" t="s">
        <v>230</v>
      </c>
      <c r="FU90" s="88" t="s">
        <v>220</v>
      </c>
      <c r="FV90" s="88" t="s">
        <v>220</v>
      </c>
      <c r="FW90" s="88" t="s">
        <v>232</v>
      </c>
      <c r="FX90" s="88" t="s">
        <v>233</v>
      </c>
      <c r="FY90" s="88" t="s">
        <v>233</v>
      </c>
      <c r="FZ90" s="88" t="s">
        <v>232</v>
      </c>
      <c r="GA90" s="88" t="s">
        <v>230</v>
      </c>
      <c r="GB90" s="88" t="s">
        <v>220</v>
      </c>
      <c r="GC90" s="88" t="s">
        <v>220</v>
      </c>
      <c r="GD90" s="88" t="s">
        <v>232</v>
      </c>
      <c r="GE90" s="88" t="s">
        <v>233</v>
      </c>
      <c r="GF90" s="88" t="s">
        <v>233</v>
      </c>
      <c r="GG90" s="88" t="s">
        <v>232</v>
      </c>
      <c r="GH90" s="88" t="s">
        <v>230</v>
      </c>
      <c r="GI90" s="88" t="s">
        <v>220</v>
      </c>
      <c r="GJ90" s="88" t="s">
        <v>220</v>
      </c>
      <c r="GK90" s="88" t="s">
        <v>232</v>
      </c>
      <c r="GL90" s="88" t="s">
        <v>233</v>
      </c>
      <c r="GM90" s="88" t="s">
        <v>233</v>
      </c>
      <c r="GN90" s="88" t="s">
        <v>232</v>
      </c>
      <c r="GO90" s="88" t="s">
        <v>230</v>
      </c>
      <c r="GP90" s="88" t="s">
        <v>220</v>
      </c>
      <c r="GQ90" s="88" t="s">
        <v>220</v>
      </c>
      <c r="GR90" s="88" t="s">
        <v>232</v>
      </c>
      <c r="GS90" s="88" t="s">
        <v>233</v>
      </c>
      <c r="GT90" s="88" t="s">
        <v>233</v>
      </c>
      <c r="GU90" s="88" t="s">
        <v>232</v>
      </c>
      <c r="GV90" s="88" t="s">
        <v>230</v>
      </c>
      <c r="GW90" s="88" t="s">
        <v>220</v>
      </c>
      <c r="GX90" s="88" t="s">
        <v>220</v>
      </c>
      <c r="GY90" s="88" t="s">
        <v>232</v>
      </c>
      <c r="GZ90" s="88" t="s">
        <v>233</v>
      </c>
      <c r="HA90" s="88" t="s">
        <v>233</v>
      </c>
      <c r="HB90" s="88" t="s">
        <v>232</v>
      </c>
      <c r="HC90" s="88" t="s">
        <v>230</v>
      </c>
      <c r="HD90" s="88" t="s">
        <v>220</v>
      </c>
      <c r="HE90" s="88" t="s">
        <v>220</v>
      </c>
      <c r="HF90" s="88" t="s">
        <v>232</v>
      </c>
      <c r="HG90" s="88" t="s">
        <v>233</v>
      </c>
      <c r="HH90" s="88" t="s">
        <v>233</v>
      </c>
      <c r="HI90" s="88" t="s">
        <v>232</v>
      </c>
      <c r="HJ90" s="88" t="s">
        <v>230</v>
      </c>
      <c r="HK90" s="88" t="s">
        <v>220</v>
      </c>
      <c r="HL90" s="88" t="s">
        <v>220</v>
      </c>
      <c r="HM90" s="88" t="s">
        <v>232</v>
      </c>
      <c r="HN90" s="88" t="s">
        <v>233</v>
      </c>
      <c r="HO90" s="88" t="s">
        <v>233</v>
      </c>
      <c r="HP90" s="88" t="s">
        <v>232</v>
      </c>
      <c r="HQ90" s="88" t="s">
        <v>230</v>
      </c>
      <c r="HR90" s="88" t="s">
        <v>220</v>
      </c>
      <c r="HS90" s="88" t="s">
        <v>220</v>
      </c>
      <c r="HT90" s="88" t="s">
        <v>232</v>
      </c>
      <c r="HU90" s="88" t="s">
        <v>233</v>
      </c>
      <c r="HV90" s="88" t="s">
        <v>233</v>
      </c>
      <c r="HW90" s="88" t="s">
        <v>232</v>
      </c>
      <c r="HX90" s="88" t="s">
        <v>230</v>
      </c>
      <c r="HY90" s="88" t="s">
        <v>220</v>
      </c>
      <c r="HZ90" s="88" t="s">
        <v>220</v>
      </c>
      <c r="IA90" s="88" t="s">
        <v>232</v>
      </c>
      <c r="IB90" s="88" t="s">
        <v>233</v>
      </c>
      <c r="IC90" s="88" t="s">
        <v>233</v>
      </c>
      <c r="ID90" s="88" t="s">
        <v>232</v>
      </c>
      <c r="IE90" s="88" t="s">
        <v>230</v>
      </c>
      <c r="IF90" s="88" t="s">
        <v>220</v>
      </c>
      <c r="IG90" s="88" t="s">
        <v>220</v>
      </c>
      <c r="IH90" s="88" t="s">
        <v>232</v>
      </c>
      <c r="II90" s="88" t="s">
        <v>233</v>
      </c>
      <c r="IJ90" s="88" t="s">
        <v>233</v>
      </c>
      <c r="IK90" s="88" t="s">
        <v>232</v>
      </c>
      <c r="IL90" s="88" t="s">
        <v>234</v>
      </c>
      <c r="IM90" s="88" t="s">
        <v>234</v>
      </c>
      <c r="IN90" s="88" t="s">
        <v>234</v>
      </c>
      <c r="IO90" s="291" t="s">
        <v>234</v>
      </c>
    </row>
    <row r="91" spans="1:249" ht="16.5" thickTop="1">
      <c r="A91" s="6"/>
      <c r="B91" s="419"/>
      <c r="C91" s="423"/>
      <c r="D91" s="373"/>
      <c r="E91" s="366" t="s">
        <v>19</v>
      </c>
      <c r="G91" s="394" t="s">
        <v>409</v>
      </c>
      <c r="H91" s="523">
        <v>20</v>
      </c>
      <c r="I91" s="521">
        <v>0.085</v>
      </c>
      <c r="J91" s="203"/>
      <c r="K91" s="331" t="s">
        <v>410</v>
      </c>
      <c r="L91" s="304"/>
      <c r="M91" s="116"/>
      <c r="N91" s="118"/>
      <c r="O91" s="113"/>
      <c r="P91" s="113"/>
      <c r="Q91" s="115"/>
      <c r="R91" s="115"/>
      <c r="FH91" s="59">
        <v>1</v>
      </c>
      <c r="FI91" s="299">
        <f>$I$7</f>
        <v>1200</v>
      </c>
      <c r="FJ91" s="10">
        <f>SLN($D$18,IF($H$117="yes",0,$I$18*$I$19),5)</f>
        <v>292</v>
      </c>
      <c r="FK91" s="10">
        <f>SYD($D$18,IF($H$117="yes",0,$I$18*$I$19),5,1)</f>
        <v>486.6666666666667</v>
      </c>
      <c r="FL91" s="10">
        <f>IF($H$120="yes",FJ91*FI91,0)</f>
        <v>0</v>
      </c>
      <c r="FM91" s="10">
        <f>IF($H$120="no",FK91*FI91,0)</f>
        <v>584000</v>
      </c>
      <c r="FN91" s="10">
        <f>IF($H$120="yes",ROUND($I$17*$FI$38,0)*($FJ$92+$FJ$93+$FJ$94+$FJ$95),ROUND($I$17*$FI$38,0)*($FK$92+$FK$93+$FK$94+$FK$95))</f>
        <v>385439.99999999994</v>
      </c>
      <c r="FO91" s="10">
        <f>IF($H$120="yes",ROUND($I$20*$FI$38,0)*($FJ$92+$FJ$93+$FJ$94+$FJ$95),ROUND($I$20*$FI$38,0)*($FK$92+$FK$93+$FK$94+$FK$95))</f>
        <v>11680</v>
      </c>
      <c r="FP91" s="10">
        <f aca="true" t="shared" si="138" ref="FP91:FP100">IF($H$117="no",ROUND($I$20*FI91,0)*($I$18*$I$19),0)</f>
        <v>6480</v>
      </c>
      <c r="FQ91" s="10">
        <f aca="true" t="shared" si="139" ref="FQ91:FQ100">IF($H$117="yes",ROUND(FI91*$I$17,0)*$I$18*$I$19,0)</f>
        <v>0</v>
      </c>
      <c r="FR91" s="10">
        <f>SLN($I$36,IF($H$117="yes",0,$I$18*$I$19),5)</f>
        <v>292</v>
      </c>
      <c r="FS91" s="10">
        <f>SYD($I$36,IF($H$117="yes",0,$I$18*$I$19),5,1)</f>
        <v>486.6666666666667</v>
      </c>
      <c r="FT91" s="299">
        <v>0</v>
      </c>
      <c r="FU91" s="10">
        <v>0</v>
      </c>
      <c r="FV91" s="10">
        <v>0</v>
      </c>
      <c r="FW91" s="10">
        <v>0</v>
      </c>
      <c r="FX91" s="10">
        <v>0</v>
      </c>
      <c r="FY91" s="10">
        <v>0</v>
      </c>
      <c r="FZ91" s="10">
        <v>0</v>
      </c>
      <c r="GA91" s="299">
        <v>0</v>
      </c>
      <c r="GB91" s="10">
        <v>0</v>
      </c>
      <c r="GC91" s="10">
        <v>0</v>
      </c>
      <c r="GD91" s="10">
        <v>0</v>
      </c>
      <c r="GE91" s="10">
        <v>0</v>
      </c>
      <c r="GF91" s="10">
        <v>0</v>
      </c>
      <c r="GG91" s="10">
        <v>0</v>
      </c>
      <c r="GH91" s="299">
        <v>0</v>
      </c>
      <c r="GI91" s="10">
        <v>0</v>
      </c>
      <c r="GJ91" s="10">
        <v>0</v>
      </c>
      <c r="GK91" s="10">
        <v>0</v>
      </c>
      <c r="GL91" s="10">
        <v>0</v>
      </c>
      <c r="GM91" s="10">
        <v>0</v>
      </c>
      <c r="GN91" s="10">
        <v>0</v>
      </c>
      <c r="GO91" s="299">
        <v>0</v>
      </c>
      <c r="GP91" s="10">
        <v>0</v>
      </c>
      <c r="GQ91" s="10">
        <v>0</v>
      </c>
      <c r="GR91" s="10">
        <v>0</v>
      </c>
      <c r="GS91" s="10">
        <v>0</v>
      </c>
      <c r="GT91" s="10">
        <v>0</v>
      </c>
      <c r="GU91" s="10">
        <v>0</v>
      </c>
      <c r="GV91" s="299">
        <v>0</v>
      </c>
      <c r="GW91" s="10">
        <v>0</v>
      </c>
      <c r="GX91" s="10">
        <v>0</v>
      </c>
      <c r="GY91" s="10">
        <v>0</v>
      </c>
      <c r="GZ91" s="10">
        <v>0</v>
      </c>
      <c r="HA91" s="10">
        <v>0</v>
      </c>
      <c r="HB91" s="10">
        <v>0</v>
      </c>
      <c r="HC91" s="299">
        <v>0</v>
      </c>
      <c r="HD91" s="10">
        <v>0</v>
      </c>
      <c r="HE91" s="10">
        <v>0</v>
      </c>
      <c r="HF91" s="10">
        <v>0</v>
      </c>
      <c r="HG91" s="10">
        <v>0</v>
      </c>
      <c r="HH91" s="10">
        <v>0</v>
      </c>
      <c r="HI91" s="10">
        <v>0</v>
      </c>
      <c r="HJ91" s="299">
        <v>0</v>
      </c>
      <c r="HK91" s="10">
        <v>0</v>
      </c>
      <c r="HL91" s="10">
        <v>0</v>
      </c>
      <c r="HM91" s="10">
        <v>0</v>
      </c>
      <c r="HN91" s="10">
        <v>0</v>
      </c>
      <c r="HO91" s="10">
        <v>0</v>
      </c>
      <c r="HP91" s="10">
        <v>0</v>
      </c>
      <c r="HQ91" s="299">
        <v>0</v>
      </c>
      <c r="HR91" s="10">
        <v>0</v>
      </c>
      <c r="HS91" s="10">
        <v>0</v>
      </c>
      <c r="HT91" s="10">
        <v>0</v>
      </c>
      <c r="HU91" s="10">
        <v>0</v>
      </c>
      <c r="HV91" s="10">
        <v>0</v>
      </c>
      <c r="HW91" s="10">
        <v>0</v>
      </c>
      <c r="HX91" s="299">
        <v>0</v>
      </c>
      <c r="HY91" s="10">
        <v>0</v>
      </c>
      <c r="HZ91" s="10">
        <v>0</v>
      </c>
      <c r="IA91" s="10">
        <v>0</v>
      </c>
      <c r="IB91" s="10">
        <v>0</v>
      </c>
      <c r="IC91" s="10">
        <v>0</v>
      </c>
      <c r="ID91" s="10">
        <v>0</v>
      </c>
      <c r="IE91" s="299">
        <v>0</v>
      </c>
      <c r="IF91" s="10">
        <v>0</v>
      </c>
      <c r="IG91" s="10">
        <v>0</v>
      </c>
      <c r="IH91" s="10">
        <v>0</v>
      </c>
      <c r="II91" s="10">
        <v>0</v>
      </c>
      <c r="IJ91" s="10">
        <v>0</v>
      </c>
      <c r="IK91" s="10">
        <v>0</v>
      </c>
      <c r="IL91" s="10">
        <f aca="true" t="shared" si="140" ref="IL91:IL110">FL91+FM91+FU91+FV91+GB91+GC91+GI91+GJ91+GP91+GQ91+GW91+GX91+HD91+HE91+HK91+HL91+HR91+HS91+HY91+HZ91+IF91+IG91</f>
        <v>584000</v>
      </c>
      <c r="IM91" s="10">
        <f aca="true" t="shared" si="141" ref="IM91:IM110">FN91+FO91+FW91+FX91+GD91+GE91+GK91+GL91+GR91+GS91+GY91+GZ91+HF91+HG91+HM91+HN91+HT91+HU91+IA91+IB91+IH91+II91</f>
        <v>397119.99999999994</v>
      </c>
      <c r="IN91" s="10">
        <f aca="true" t="shared" si="142" ref="IN91:IO110">FP91+FY91+GF91+GM91+GT91+HA91+HH91+HO91+HV91+IC91+IJ91</f>
        <v>6480</v>
      </c>
      <c r="IO91" s="381">
        <f t="shared" si="142"/>
        <v>0</v>
      </c>
    </row>
    <row r="92" spans="1:249" ht="15.75">
      <c r="A92" s="9"/>
      <c r="B92" s="420"/>
      <c r="C92" s="424"/>
      <c r="D92" s="333" t="s">
        <v>51</v>
      </c>
      <c r="E92" s="132" t="s">
        <v>52</v>
      </c>
      <c r="G92" s="394" t="s">
        <v>411</v>
      </c>
      <c r="H92" s="524">
        <v>5</v>
      </c>
      <c r="I92" s="501">
        <v>0.09</v>
      </c>
      <c r="J92" s="203"/>
      <c r="K92" s="253"/>
      <c r="L92" s="307"/>
      <c r="M92" s="308"/>
      <c r="N92" s="309"/>
      <c r="O92" s="253"/>
      <c r="P92" s="253"/>
      <c r="Q92" s="310"/>
      <c r="R92" s="337"/>
      <c r="S92" s="322"/>
      <c r="T92" s="311"/>
      <c r="FH92" s="62">
        <v>2</v>
      </c>
      <c r="FI92" s="107">
        <f aca="true" t="shared" si="143" ref="FI92:FI100">ROUND(FI91-($I$17+$I$20)*FI91,0)</f>
        <v>792</v>
      </c>
      <c r="FJ92" s="107">
        <f>SLN($D$18,IF($H$117="yes",0,$I$18*$I$19),5)</f>
        <v>292</v>
      </c>
      <c r="FK92" s="107">
        <f>SYD($D$18,IF($H$117="yes",0,$I$18*$I$19),5,2)</f>
        <v>389.3333333333333</v>
      </c>
      <c r="FL92" s="107">
        <f>IF($H$120="yes",FJ92*FI92,0)</f>
        <v>0</v>
      </c>
      <c r="FM92" s="107">
        <f>IF($H$120="no",FK92*FI92,0)</f>
        <v>308352</v>
      </c>
      <c r="FN92" s="10">
        <f>IF($H$120="yes",ROUND($I$17*$FI$38,0)*($FJ$93+$FJ$94+$FJ$95),ROUND($I$17*$FI$38,0)*($FK$93+$FK$94+$FK$95))</f>
        <v>231264</v>
      </c>
      <c r="FO92" s="10">
        <f>IF($H$120="yes",ROUND($I$20*$FI$38,0)*($FJ$93+$FJ$94+$FJ$95),ROUND($I$20*$FI$38,0)*($FK$93+$FK$94+$FK$95))</f>
        <v>7008</v>
      </c>
      <c r="FP92" s="107">
        <f t="shared" si="138"/>
        <v>4320</v>
      </c>
      <c r="FQ92" s="107">
        <f t="shared" si="139"/>
        <v>0</v>
      </c>
      <c r="FR92" s="107">
        <f>SLN($I$36,IF($H$117="yes",0,$I$18*$I$19),5)</f>
        <v>292</v>
      </c>
      <c r="FS92" s="107">
        <f>SYD($I$36,IF($H$117="yes",0,$I$18*$I$19),5,2)</f>
        <v>389.3333333333333</v>
      </c>
      <c r="FT92" s="107">
        <f>ROUND($I$7*($I$17+$I$20),0)</f>
        <v>408</v>
      </c>
      <c r="FU92" s="107">
        <f>IF($H$120="yes",FT92*$FR$91,0)</f>
        <v>0</v>
      </c>
      <c r="FV92" s="107">
        <f>IF($H$120="no",FT92*$FS$91,0)</f>
        <v>198560</v>
      </c>
      <c r="FW92" s="107">
        <f>IF($H$120="yes",ROUND($I$17*FT92,0)*($FR$92+$FR$93+$FR$94+$FR$95),ROUND($I$17*FT92,0)*($FS$92+$FS$93+$FS$94+$FS$95))</f>
        <v>131400</v>
      </c>
      <c r="FX92" s="107">
        <f>IF($H$120="yes",ROUND($I$20*FT92,0)*($FR$92+$FR$93+$FR$94+$FR$95),ROUND($I$20*FT92,0)*($FS$92+$FS$93+$FS$94+$FS$95))</f>
        <v>3893.333333333333</v>
      </c>
      <c r="FY92" s="107">
        <f aca="true" t="shared" si="144" ref="FY92:FY101">IF($H$117="no",ROUND($I$20*FT92,0)*($I$18*$I$19),0)</f>
        <v>2160</v>
      </c>
      <c r="FZ92" s="107">
        <f aca="true" t="shared" si="145" ref="FZ92:FZ101">IF($H$117="yes",ROUND(FT92*$I$17,0)*$I$18*$I$19,0)</f>
        <v>0</v>
      </c>
      <c r="GA92" s="107">
        <v>0</v>
      </c>
      <c r="GB92" s="107">
        <v>0</v>
      </c>
      <c r="GC92" s="107">
        <v>0</v>
      </c>
      <c r="GD92" s="107">
        <v>0</v>
      </c>
      <c r="GE92" s="107">
        <v>0</v>
      </c>
      <c r="GF92" s="107">
        <v>0</v>
      </c>
      <c r="GG92" s="107">
        <v>0</v>
      </c>
      <c r="GH92" s="107">
        <v>0</v>
      </c>
      <c r="GI92" s="107">
        <v>0</v>
      </c>
      <c r="GJ92" s="107">
        <v>0</v>
      </c>
      <c r="GK92" s="107">
        <v>0</v>
      </c>
      <c r="GL92" s="107">
        <v>0</v>
      </c>
      <c r="GM92" s="107">
        <v>0</v>
      </c>
      <c r="GN92" s="107">
        <v>0</v>
      </c>
      <c r="GO92" s="107">
        <v>0</v>
      </c>
      <c r="GP92" s="107">
        <v>0</v>
      </c>
      <c r="GQ92" s="107">
        <v>0</v>
      </c>
      <c r="GR92" s="107">
        <v>0</v>
      </c>
      <c r="GS92" s="107">
        <v>0</v>
      </c>
      <c r="GT92" s="107">
        <v>0</v>
      </c>
      <c r="GU92" s="107">
        <v>0</v>
      </c>
      <c r="GV92" s="107">
        <v>0</v>
      </c>
      <c r="GW92" s="107">
        <v>0</v>
      </c>
      <c r="GX92" s="107">
        <v>0</v>
      </c>
      <c r="GY92" s="107">
        <v>0</v>
      </c>
      <c r="GZ92" s="107">
        <v>0</v>
      </c>
      <c r="HA92" s="107">
        <v>0</v>
      </c>
      <c r="HB92" s="107">
        <v>0</v>
      </c>
      <c r="HC92" s="107">
        <v>0</v>
      </c>
      <c r="HD92" s="107">
        <v>0</v>
      </c>
      <c r="HE92" s="107">
        <v>0</v>
      </c>
      <c r="HF92" s="107">
        <v>0</v>
      </c>
      <c r="HG92" s="107">
        <v>0</v>
      </c>
      <c r="HH92" s="107">
        <v>0</v>
      </c>
      <c r="HI92" s="107">
        <v>0</v>
      </c>
      <c r="HJ92" s="107">
        <v>0</v>
      </c>
      <c r="HK92" s="107">
        <v>0</v>
      </c>
      <c r="HL92" s="107">
        <v>0</v>
      </c>
      <c r="HM92" s="107">
        <v>0</v>
      </c>
      <c r="HN92" s="107">
        <v>0</v>
      </c>
      <c r="HO92" s="107">
        <v>0</v>
      </c>
      <c r="HP92" s="107">
        <v>0</v>
      </c>
      <c r="HQ92" s="107">
        <v>0</v>
      </c>
      <c r="HR92" s="107">
        <v>0</v>
      </c>
      <c r="HS92" s="107">
        <v>0</v>
      </c>
      <c r="HT92" s="107">
        <v>0</v>
      </c>
      <c r="HU92" s="107">
        <v>0</v>
      </c>
      <c r="HV92" s="107">
        <v>0</v>
      </c>
      <c r="HW92" s="107">
        <v>0</v>
      </c>
      <c r="HX92" s="107">
        <v>0</v>
      </c>
      <c r="HY92" s="107">
        <v>0</v>
      </c>
      <c r="HZ92" s="107">
        <v>0</v>
      </c>
      <c r="IA92" s="107">
        <v>0</v>
      </c>
      <c r="IB92" s="107">
        <v>0</v>
      </c>
      <c r="IC92" s="107">
        <v>0</v>
      </c>
      <c r="ID92" s="107">
        <v>0</v>
      </c>
      <c r="IE92" s="107">
        <v>0</v>
      </c>
      <c r="IF92" s="107">
        <v>0</v>
      </c>
      <c r="IG92" s="107">
        <v>0</v>
      </c>
      <c r="IH92" s="107">
        <v>0</v>
      </c>
      <c r="II92" s="107">
        <v>0</v>
      </c>
      <c r="IJ92" s="107">
        <v>0</v>
      </c>
      <c r="IK92" s="107">
        <v>0</v>
      </c>
      <c r="IL92" s="107">
        <f t="shared" si="140"/>
        <v>506912</v>
      </c>
      <c r="IM92" s="107">
        <f t="shared" si="141"/>
        <v>373565.3333333333</v>
      </c>
      <c r="IN92" s="107">
        <f t="shared" si="142"/>
        <v>6480</v>
      </c>
      <c r="IO92" s="27">
        <f t="shared" si="142"/>
        <v>0</v>
      </c>
    </row>
    <row r="93" spans="1:249" ht="16.5" thickBot="1">
      <c r="A93" s="11" t="s">
        <v>63</v>
      </c>
      <c r="B93" s="421" t="s">
        <v>64</v>
      </c>
      <c r="C93" s="421" t="s">
        <v>65</v>
      </c>
      <c r="D93" s="374" t="s">
        <v>66</v>
      </c>
      <c r="E93" s="295" t="s">
        <v>66</v>
      </c>
      <c r="G93" s="394" t="s">
        <v>412</v>
      </c>
      <c r="H93" s="524">
        <v>20</v>
      </c>
      <c r="I93" s="501">
        <v>0.085</v>
      </c>
      <c r="J93" s="203"/>
      <c r="K93" s="312"/>
      <c r="L93" s="313"/>
      <c r="M93" s="312"/>
      <c r="N93" s="314"/>
      <c r="O93" s="314"/>
      <c r="P93" s="314"/>
      <c r="Q93" s="315" t="s">
        <v>413</v>
      </c>
      <c r="R93" s="75"/>
      <c r="S93" s="75" t="s">
        <v>414</v>
      </c>
      <c r="T93" s="12" t="s">
        <v>415</v>
      </c>
      <c r="FH93" s="62">
        <v>3</v>
      </c>
      <c r="FI93" s="107">
        <f t="shared" si="143"/>
        <v>523</v>
      </c>
      <c r="FJ93" s="107">
        <f>SLN($D$18,IF($H$117="yes",0,$I$18*$I$19),5)</f>
        <v>292</v>
      </c>
      <c r="FK93" s="107">
        <f>SYD($D$18,IF($H$117="yes",0,$I$18*$I$19),5,3)</f>
        <v>292</v>
      </c>
      <c r="FL93" s="107">
        <f>IF($H$120="yes",FJ93*FI93,0)</f>
        <v>0</v>
      </c>
      <c r="FM93" s="107">
        <f>IF($H$120="no",FK93*FI93,0)</f>
        <v>152716</v>
      </c>
      <c r="FN93" s="10">
        <f>IF($H$120="yes",ROUND($I$17*$FI$38,0)*($FJ$94+$FJ$95),ROUND($I$17*$FI$38,0)*($FK$94+$FK$95))</f>
        <v>115632</v>
      </c>
      <c r="FO93" s="10">
        <f>IF($H$120="yes",ROUND($I$20*$FI$38,0)*($FJ$94+$FJ$95),ROUND($I$20*$FI$38,0)*($FK$94+$FK$95))</f>
        <v>3504</v>
      </c>
      <c r="FP93" s="107">
        <f t="shared" si="138"/>
        <v>2700</v>
      </c>
      <c r="FQ93" s="107">
        <f t="shared" si="139"/>
        <v>0</v>
      </c>
      <c r="FR93" s="107">
        <f>SLN($I$36,IF($H$117="yes",0,$I$18*$I$19),5)</f>
        <v>292</v>
      </c>
      <c r="FS93" s="107">
        <f>SYD($I$36,IF($H$117="yes",0,$I$18*$I$19),5,3)</f>
        <v>292</v>
      </c>
      <c r="FT93" s="107">
        <f aca="true" t="shared" si="146" ref="FT93:FT101">ROUND(FT92-($I$17+$I$20)*FT92,0)</f>
        <v>269</v>
      </c>
      <c r="FU93" s="107">
        <f>IF($H$120="yes",FT93*$FR$92,0)</f>
        <v>0</v>
      </c>
      <c r="FV93" s="107">
        <f>IF($H$120="no",FT93*$FS$92,0)</f>
        <v>104730.66666666666</v>
      </c>
      <c r="FW93" s="107">
        <f>IF($H$120="yes",ROUND($I$17*FT93,0)*($FR$93+$FR$94+$FR$95),ROUND($I$17*FT93,0)*($FS$93+$FS$94+$FS$95))</f>
        <v>51976</v>
      </c>
      <c r="FX93" s="107">
        <f>IF($H$120="yes",ROUND($I$20*FT93,0)*($FR$93+$FR$94+$FR$95),ROUND($I$20*FT93,0)*($FS$93+$FS$94+$FS$95))</f>
        <v>1752</v>
      </c>
      <c r="FY93" s="107">
        <f t="shared" si="144"/>
        <v>1620</v>
      </c>
      <c r="FZ93" s="107">
        <f t="shared" si="145"/>
        <v>0</v>
      </c>
      <c r="GA93" s="107">
        <f>ROUND($I$7*($I$17+$I$20),0)</f>
        <v>408</v>
      </c>
      <c r="GB93" s="107">
        <f>IF($H$120="yes",GA93*$FR$91,0)</f>
        <v>0</v>
      </c>
      <c r="GC93" s="107">
        <f>IF($H$120="no",GA93*$FS$91,0)</f>
        <v>198560</v>
      </c>
      <c r="GD93" s="107">
        <f>IF($H$120="yes",ROUND($I$17*GA93,0)*($FR$92+$FR$93+$FR$94+$FR$95),ROUND($I$17*GA93,0)*($FS$92+$FS$93+$FS$94+$FS$95))</f>
        <v>131400</v>
      </c>
      <c r="GE93" s="107">
        <f>IF($H$120="yes",ROUND($I$20*GA93,0)*($FR$92+$FR$93+$FR$94+$FR$95),ROUND($I$20*GA93,0)*($FS$92+$FS$93+$FS$94+$FS$95))</f>
        <v>3893.333333333333</v>
      </c>
      <c r="GF93" s="107">
        <f aca="true" t="shared" si="147" ref="GF93:GF102">IF($H$117="no",ROUND($I$20*GA93,0)*($I$18*$I$19),0)</f>
        <v>2160</v>
      </c>
      <c r="GG93" s="107">
        <f aca="true" t="shared" si="148" ref="GG93:GG102">IF($H$117="yes",ROUND(GA93*$I$17,0)*$I$18*$I$19,0)</f>
        <v>0</v>
      </c>
      <c r="GH93" s="107">
        <v>0</v>
      </c>
      <c r="GI93" s="107">
        <v>0</v>
      </c>
      <c r="GJ93" s="107">
        <v>0</v>
      </c>
      <c r="GK93" s="107">
        <v>0</v>
      </c>
      <c r="GL93" s="107">
        <v>0</v>
      </c>
      <c r="GM93" s="107">
        <v>0</v>
      </c>
      <c r="GN93" s="107">
        <v>0</v>
      </c>
      <c r="GO93" s="107">
        <v>0</v>
      </c>
      <c r="GP93" s="107">
        <v>0</v>
      </c>
      <c r="GQ93" s="107">
        <v>0</v>
      </c>
      <c r="GR93" s="107">
        <v>0</v>
      </c>
      <c r="GS93" s="107">
        <v>0</v>
      </c>
      <c r="GT93" s="107">
        <v>0</v>
      </c>
      <c r="GU93" s="107">
        <v>0</v>
      </c>
      <c r="GV93" s="107">
        <v>0</v>
      </c>
      <c r="GW93" s="107">
        <v>0</v>
      </c>
      <c r="GX93" s="107">
        <v>0</v>
      </c>
      <c r="GY93" s="107">
        <v>0</v>
      </c>
      <c r="GZ93" s="107">
        <v>0</v>
      </c>
      <c r="HA93" s="107">
        <v>0</v>
      </c>
      <c r="HB93" s="107">
        <v>0</v>
      </c>
      <c r="HC93" s="107">
        <v>0</v>
      </c>
      <c r="HD93" s="107">
        <v>0</v>
      </c>
      <c r="HE93" s="107">
        <v>0</v>
      </c>
      <c r="HF93" s="107">
        <v>0</v>
      </c>
      <c r="HG93" s="107">
        <v>0</v>
      </c>
      <c r="HH93" s="107">
        <v>0</v>
      </c>
      <c r="HI93" s="107">
        <v>0</v>
      </c>
      <c r="HJ93" s="107">
        <v>0</v>
      </c>
      <c r="HK93" s="107">
        <v>0</v>
      </c>
      <c r="HL93" s="107">
        <v>0</v>
      </c>
      <c r="HM93" s="107">
        <v>0</v>
      </c>
      <c r="HN93" s="107">
        <v>0</v>
      </c>
      <c r="HO93" s="107">
        <v>0</v>
      </c>
      <c r="HP93" s="107">
        <v>0</v>
      </c>
      <c r="HQ93" s="107">
        <v>0</v>
      </c>
      <c r="HR93" s="107">
        <v>0</v>
      </c>
      <c r="HS93" s="107">
        <v>0</v>
      </c>
      <c r="HT93" s="107">
        <v>0</v>
      </c>
      <c r="HU93" s="107">
        <v>0</v>
      </c>
      <c r="HV93" s="107">
        <v>0</v>
      </c>
      <c r="HW93" s="107">
        <v>0</v>
      </c>
      <c r="HX93" s="107">
        <v>0</v>
      </c>
      <c r="HY93" s="107">
        <v>0</v>
      </c>
      <c r="HZ93" s="107">
        <v>0</v>
      </c>
      <c r="IA93" s="107">
        <v>0</v>
      </c>
      <c r="IB93" s="107">
        <v>0</v>
      </c>
      <c r="IC93" s="107">
        <v>0</v>
      </c>
      <c r="ID93" s="107">
        <v>0</v>
      </c>
      <c r="IE93" s="107">
        <v>0</v>
      </c>
      <c r="IF93" s="107">
        <v>0</v>
      </c>
      <c r="IG93" s="107">
        <v>0</v>
      </c>
      <c r="IH93" s="107">
        <v>0</v>
      </c>
      <c r="II93" s="107">
        <v>0</v>
      </c>
      <c r="IJ93" s="107">
        <v>0</v>
      </c>
      <c r="IK93" s="107">
        <v>0</v>
      </c>
      <c r="IL93" s="107">
        <f t="shared" si="140"/>
        <v>456006.6666666666</v>
      </c>
      <c r="IM93" s="107">
        <f t="shared" si="141"/>
        <v>308157.3333333333</v>
      </c>
      <c r="IN93" s="107">
        <f t="shared" si="142"/>
        <v>6480</v>
      </c>
      <c r="IO93" s="27">
        <f t="shared" si="142"/>
        <v>0</v>
      </c>
    </row>
    <row r="94" spans="1:249" ht="16.5" thickTop="1">
      <c r="A94" s="479">
        <v>2</v>
      </c>
      <c r="B94" s="416" t="s">
        <v>416</v>
      </c>
      <c r="C94" s="411" t="s">
        <v>209</v>
      </c>
      <c r="D94" s="484">
        <v>27000</v>
      </c>
      <c r="E94" s="367">
        <f>D94*A94</f>
        <v>54000</v>
      </c>
      <c r="G94" s="394" t="s">
        <v>417</v>
      </c>
      <c r="H94" s="524">
        <v>5</v>
      </c>
      <c r="I94" s="501">
        <v>0.09</v>
      </c>
      <c r="J94" s="203"/>
      <c r="K94" s="312"/>
      <c r="L94" s="312" t="s">
        <v>19</v>
      </c>
      <c r="M94" s="312" t="s">
        <v>418</v>
      </c>
      <c r="N94" s="159" t="s">
        <v>419</v>
      </c>
      <c r="O94" s="314" t="s">
        <v>420</v>
      </c>
      <c r="P94" s="314" t="s">
        <v>420</v>
      </c>
      <c r="Q94" s="315" t="s">
        <v>421</v>
      </c>
      <c r="R94" s="75"/>
      <c r="S94" s="75" t="s">
        <v>422</v>
      </c>
      <c r="T94" s="12" t="s">
        <v>413</v>
      </c>
      <c r="FH94" s="62">
        <v>4</v>
      </c>
      <c r="FI94" s="107">
        <f t="shared" si="143"/>
        <v>345</v>
      </c>
      <c r="FJ94" s="107">
        <f>SLN($D$18,IF($H$117="yes",0,$I$18*$I$19),5)</f>
        <v>292</v>
      </c>
      <c r="FK94" s="107">
        <f>SYD($D$18,IF($H$117="yes",0,$I$18*$I$19),5,4)</f>
        <v>194.66666666666666</v>
      </c>
      <c r="FL94" s="107">
        <f>IF($H$120="yes",FJ94*FI94,0)</f>
        <v>0</v>
      </c>
      <c r="FM94" s="107">
        <f>IF($H$120="no",FK94*FI94,0)</f>
        <v>67160</v>
      </c>
      <c r="FN94" s="10">
        <f>IF($H$120="yes",ROUND($I$17*$FI$38,0)*($FJ$95),ROUND($I$17*$FI$38,0)*($FK$95))</f>
        <v>38544</v>
      </c>
      <c r="FO94" s="10">
        <f>IF($H$120="yes",ROUND($I$20*$FI$38,0)*($FJ$95),ROUND($I$20*$FI$38,0)*($FK$95))</f>
        <v>1168</v>
      </c>
      <c r="FP94" s="107">
        <f t="shared" si="138"/>
        <v>1620</v>
      </c>
      <c r="FQ94" s="107">
        <f t="shared" si="139"/>
        <v>0</v>
      </c>
      <c r="FR94" s="107">
        <f>SLN($I$36,IF($H$117="yes",0,$I$18*$I$19),5)</f>
        <v>292</v>
      </c>
      <c r="FS94" s="107">
        <f>SYD($I$36,IF($H$117="yes",0,$I$18*$I$19),5,4)</f>
        <v>194.66666666666666</v>
      </c>
      <c r="FT94" s="107">
        <f t="shared" si="146"/>
        <v>178</v>
      </c>
      <c r="FU94" s="107">
        <f>IF($H$120="yes",FT94*$FR$93,0)</f>
        <v>0</v>
      </c>
      <c r="FV94" s="107">
        <f>IF($H$120="no",FT94*$FS$93,0)</f>
        <v>51976</v>
      </c>
      <c r="FW94" s="107">
        <f>IF($H$120="yes",ROUND($I$17*FT94,0)*($FR$94+$FR$95),ROUND($I$17*FT94,0)*($FS$94+$FS$95))</f>
        <v>17228</v>
      </c>
      <c r="FX94" s="107">
        <f>IF($H$120="yes",ROUND($I$20*FT94,0)*($FR$94+$FR$95),ROUND($I$20*FT94,0)*($FS$94+$FS$95))</f>
        <v>584</v>
      </c>
      <c r="FY94" s="107">
        <f t="shared" si="144"/>
        <v>1080</v>
      </c>
      <c r="FZ94" s="107">
        <f t="shared" si="145"/>
        <v>0</v>
      </c>
      <c r="GA94" s="107">
        <f aca="true" t="shared" si="149" ref="GA94:GA102">ROUND(GA93-($I$17+$I$20)*GA93,0)</f>
        <v>269</v>
      </c>
      <c r="GB94" s="107">
        <f>IF($H$120="yes",GA94*$FR$92,0)</f>
        <v>0</v>
      </c>
      <c r="GC94" s="107">
        <f>IF($H$120="no",GA94*$FS$92,0)</f>
        <v>104730.66666666666</v>
      </c>
      <c r="GD94" s="107">
        <f>IF($H$120="yes",ROUND($I$17*GA94,0)*($FR$93+$FR$94+$FR$95),ROUND($I$17*GA94,0)*($FS$93+$FS$94+$FS$95))</f>
        <v>51976</v>
      </c>
      <c r="GE94" s="107">
        <f>IF($H$120="yes",ROUND($I$20*GA94,0)*($FR$93+$FR$94+$FR$95),ROUND($I$20*GA94,0)*($FS$93+$FS$94+$FS$95))</f>
        <v>1752</v>
      </c>
      <c r="GF94" s="107">
        <f t="shared" si="147"/>
        <v>1620</v>
      </c>
      <c r="GG94" s="107">
        <f t="shared" si="148"/>
        <v>0</v>
      </c>
      <c r="GH94" s="107">
        <f>ROUND($I$7*($I$17+$I$20),0)</f>
        <v>408</v>
      </c>
      <c r="GI94" s="107">
        <f>IF($H$120="yes",GH94*$FR$91,0)</f>
        <v>0</v>
      </c>
      <c r="GJ94" s="107">
        <f>IF($H$120="no",GH94*$FS$91,0)</f>
        <v>198560</v>
      </c>
      <c r="GK94" s="107">
        <f>IF($H$120="yes",ROUND($I$17*GH94,0)*($FR$92+$FR$93+$FR$94+$FR$95),ROUND($I$17*GH94,0)*($FS$92+$FS$93+$FS$94+$FS$95))</f>
        <v>131400</v>
      </c>
      <c r="GL94" s="107">
        <f>IF($H$120="yes",ROUND($I$20*GH94,0)*($FR$92+$FR$93+$FR$94+$FR$95),ROUND($I$20*GH94,0)*($FS$92+$FS$93+$FS$94+$FS$95))</f>
        <v>3893.333333333333</v>
      </c>
      <c r="GM94" s="107">
        <f aca="true" t="shared" si="150" ref="GM94:GM103">IF($H$117="no",ROUND($I$20*GH94,0)*($I$18*$I$19),0)</f>
        <v>2160</v>
      </c>
      <c r="GN94" s="107">
        <f aca="true" t="shared" si="151" ref="GN94:GN103">IF($H$117="yes",ROUND(GH94*$I$17,0)*$I$18*$I$19,0)</f>
        <v>0</v>
      </c>
      <c r="GO94" s="107">
        <v>0</v>
      </c>
      <c r="GP94" s="107">
        <v>0</v>
      </c>
      <c r="GQ94" s="107">
        <v>0</v>
      </c>
      <c r="GR94" s="107">
        <v>0</v>
      </c>
      <c r="GS94" s="107">
        <v>0</v>
      </c>
      <c r="GT94" s="107">
        <v>0</v>
      </c>
      <c r="GU94" s="107">
        <v>0</v>
      </c>
      <c r="GV94" s="107">
        <v>0</v>
      </c>
      <c r="GW94" s="107">
        <v>0</v>
      </c>
      <c r="GX94" s="107">
        <v>0</v>
      </c>
      <c r="GY94" s="107">
        <v>0</v>
      </c>
      <c r="GZ94" s="107">
        <v>0</v>
      </c>
      <c r="HA94" s="107">
        <v>0</v>
      </c>
      <c r="HB94" s="107">
        <v>0</v>
      </c>
      <c r="HC94" s="107">
        <v>0</v>
      </c>
      <c r="HD94" s="107">
        <v>0</v>
      </c>
      <c r="HE94" s="107">
        <v>0</v>
      </c>
      <c r="HF94" s="107">
        <v>0</v>
      </c>
      <c r="HG94" s="107">
        <v>0</v>
      </c>
      <c r="HH94" s="107">
        <v>0</v>
      </c>
      <c r="HI94" s="107">
        <v>0</v>
      </c>
      <c r="HJ94" s="107">
        <v>0</v>
      </c>
      <c r="HK94" s="107">
        <v>0</v>
      </c>
      <c r="HL94" s="107">
        <v>0</v>
      </c>
      <c r="HM94" s="107">
        <v>0</v>
      </c>
      <c r="HN94" s="107">
        <v>0</v>
      </c>
      <c r="HO94" s="107">
        <v>0</v>
      </c>
      <c r="HP94" s="107">
        <v>0</v>
      </c>
      <c r="HQ94" s="107">
        <v>0</v>
      </c>
      <c r="HR94" s="107">
        <v>0</v>
      </c>
      <c r="HS94" s="107">
        <v>0</v>
      </c>
      <c r="HT94" s="107">
        <v>0</v>
      </c>
      <c r="HU94" s="107">
        <v>0</v>
      </c>
      <c r="HV94" s="107">
        <v>0</v>
      </c>
      <c r="HW94" s="107">
        <v>0</v>
      </c>
      <c r="HX94" s="107">
        <v>0</v>
      </c>
      <c r="HY94" s="107">
        <v>0</v>
      </c>
      <c r="HZ94" s="107">
        <v>0</v>
      </c>
      <c r="IA94" s="107">
        <v>0</v>
      </c>
      <c r="IB94" s="107">
        <v>0</v>
      </c>
      <c r="IC94" s="107">
        <v>0</v>
      </c>
      <c r="ID94" s="107">
        <v>0</v>
      </c>
      <c r="IE94" s="107">
        <v>0</v>
      </c>
      <c r="IF94" s="107">
        <v>0</v>
      </c>
      <c r="IG94" s="107">
        <v>0</v>
      </c>
      <c r="IH94" s="107">
        <v>0</v>
      </c>
      <c r="II94" s="107">
        <v>0</v>
      </c>
      <c r="IJ94" s="107">
        <v>0</v>
      </c>
      <c r="IK94" s="107">
        <v>0</v>
      </c>
      <c r="IL94" s="107">
        <f t="shared" si="140"/>
        <v>422426.6666666666</v>
      </c>
      <c r="IM94" s="107">
        <f t="shared" si="141"/>
        <v>246545.33333333334</v>
      </c>
      <c r="IN94" s="107">
        <f t="shared" si="142"/>
        <v>6480</v>
      </c>
      <c r="IO94" s="27">
        <f t="shared" si="142"/>
        <v>0</v>
      </c>
    </row>
    <row r="95" spans="1:249" ht="15.75">
      <c r="A95" s="480">
        <v>10000</v>
      </c>
      <c r="B95" s="412" t="s">
        <v>423</v>
      </c>
      <c r="C95" s="413" t="s">
        <v>144</v>
      </c>
      <c r="D95" s="482">
        <v>3.5</v>
      </c>
      <c r="E95" s="458">
        <f>D95*A95</f>
        <v>35000</v>
      </c>
      <c r="G95" s="26" t="s">
        <v>390</v>
      </c>
      <c r="H95" s="434"/>
      <c r="I95" s="122"/>
      <c r="J95" s="203"/>
      <c r="K95" s="316" t="s">
        <v>424</v>
      </c>
      <c r="L95" s="317" t="s">
        <v>121</v>
      </c>
      <c r="M95" s="317" t="s">
        <v>121</v>
      </c>
      <c r="N95" s="318" t="s">
        <v>121</v>
      </c>
      <c r="O95" s="319" t="s">
        <v>425</v>
      </c>
      <c r="P95" s="319" t="s">
        <v>233</v>
      </c>
      <c r="Q95" s="320" t="s">
        <v>425</v>
      </c>
      <c r="R95" s="338"/>
      <c r="S95" s="338" t="s">
        <v>425</v>
      </c>
      <c r="T95" s="321" t="s">
        <v>426</v>
      </c>
      <c r="FH95" s="62">
        <v>5</v>
      </c>
      <c r="FI95" s="107">
        <f t="shared" si="143"/>
        <v>228</v>
      </c>
      <c r="FJ95" s="107">
        <f>SLN($D$18,IF($H$117="yes",0,$I$18*$I$19),5)</f>
        <v>292</v>
      </c>
      <c r="FK95" s="107">
        <f>SYD($D$18,IF($H$117="yes",0,$I$18*$I$19),5,5)</f>
        <v>97.33333333333333</v>
      </c>
      <c r="FL95" s="107">
        <f>IF($H$120="yes",FJ95*FI95,0)</f>
        <v>0</v>
      </c>
      <c r="FM95" s="107">
        <f>IF($H$120="no",FK95*FI95,0)</f>
        <v>22192</v>
      </c>
      <c r="FN95" s="107">
        <v>0</v>
      </c>
      <c r="FO95" s="107">
        <v>0</v>
      </c>
      <c r="FP95" s="107">
        <f t="shared" si="138"/>
        <v>1080</v>
      </c>
      <c r="FQ95" s="107">
        <f t="shared" si="139"/>
        <v>0</v>
      </c>
      <c r="FR95" s="107">
        <f>SLN($I$36,IF($H$117="yes",0,$I$18*$I$19),5)</f>
        <v>292</v>
      </c>
      <c r="FS95" s="107">
        <f>SYD($I$36,IF($H$117="yes",0,$I$18*$I$19),5,5)</f>
        <v>97.33333333333333</v>
      </c>
      <c r="FT95" s="107">
        <f t="shared" si="146"/>
        <v>117</v>
      </c>
      <c r="FU95" s="107">
        <f>IF($H$120="yes",FT95*$FR$94,0)</f>
        <v>0</v>
      </c>
      <c r="FV95" s="107">
        <f>IF($H$120="no",FT95*$FS$94,0)</f>
        <v>22776</v>
      </c>
      <c r="FW95" s="107">
        <f>IF($H$120="yes",ROUND($I$17*FT95,0)*($FR$95),ROUND($I$17*FT95,0)*($FS$95))</f>
        <v>3796</v>
      </c>
      <c r="FX95" s="107">
        <f>IF($H$120="yes",ROUND($I$20*FT95,0)*($FR$95),ROUND($I$20*FT95,0)*($FS$95))</f>
        <v>97.33333333333333</v>
      </c>
      <c r="FY95" s="107">
        <f t="shared" si="144"/>
        <v>540</v>
      </c>
      <c r="FZ95" s="107">
        <f t="shared" si="145"/>
        <v>0</v>
      </c>
      <c r="GA95" s="107">
        <f t="shared" si="149"/>
        <v>178</v>
      </c>
      <c r="GB95" s="107">
        <f>IF($H$120="yes",GA95*$FR$93,0)</f>
        <v>0</v>
      </c>
      <c r="GC95" s="107">
        <f>IF($H$120="no",GA95*$FS$93,0)</f>
        <v>51976</v>
      </c>
      <c r="GD95" s="107">
        <f>IF($H$120="yes",ROUND($I$17*GA95,0)*($FR$94+$FR$95),ROUND($I$17*GA95,0)*($FS$94+$FS$95))</f>
        <v>17228</v>
      </c>
      <c r="GE95" s="107">
        <f>IF($H$120="yes",ROUND($I$20*GA95,0)*($FR$94+$FR$95),ROUND($I$20*GA95,0)*($FS$94+$FS$95))</f>
        <v>584</v>
      </c>
      <c r="GF95" s="107">
        <f t="shared" si="147"/>
        <v>1080</v>
      </c>
      <c r="GG95" s="107">
        <f t="shared" si="148"/>
        <v>0</v>
      </c>
      <c r="GH95" s="107">
        <f aca="true" t="shared" si="152" ref="GH95:GH103">ROUND(GH94-($I$17+$I$20)*GH94,0)</f>
        <v>269</v>
      </c>
      <c r="GI95" s="107">
        <f>IF($H$120="yes",GH95*$FR$92,0)</f>
        <v>0</v>
      </c>
      <c r="GJ95" s="107">
        <f>IF($H$120="no",GH95*$FS$92,0)</f>
        <v>104730.66666666666</v>
      </c>
      <c r="GK95" s="107">
        <f>IF($H$120="yes",ROUND($I$17*GH95,0)*($FR$93+$FR$94+$FR$95),ROUND($I$17*GH95,0)*($FS$93+$FS$94+$FS$95))</f>
        <v>51976</v>
      </c>
      <c r="GL95" s="107">
        <f>IF($H$120="yes",ROUND($I$20*GH95,0)*($FR$93+$FR$94+$FR$95),ROUND($I$20*GH95,0)*($FS$93+$FS$94+$FS$95))</f>
        <v>1752</v>
      </c>
      <c r="GM95" s="107">
        <f t="shared" si="150"/>
        <v>1620</v>
      </c>
      <c r="GN95" s="107">
        <f t="shared" si="151"/>
        <v>0</v>
      </c>
      <c r="GO95" s="107">
        <f>ROUND($I$7*($I$17+$I$20),0)</f>
        <v>408</v>
      </c>
      <c r="GP95" s="107">
        <f>IF($H$120="yes",GO95*$FR$91,0)</f>
        <v>0</v>
      </c>
      <c r="GQ95" s="107">
        <f>IF($H$120="no",GO95*$FS$91,0)</f>
        <v>198560</v>
      </c>
      <c r="GR95" s="107">
        <f>IF($H$120="yes",ROUND($I$17*GO95,0)*($FR$92+$FR$93+$FR$94+$FR$95),ROUND($I$17*GO95,0)*($FS$92+$FS$93+$FS$94+$FS$95))</f>
        <v>131400</v>
      </c>
      <c r="GS95" s="107">
        <f>IF($H$120="yes",ROUND($I$20*GO95,0)*($FR$92+$FR$93+$FR$94+$FR$95),ROUND($I$20*GO95,0)*($FS$92+$FS$93+$FS$94+$FS$95))</f>
        <v>3893.333333333333</v>
      </c>
      <c r="GT95" s="107">
        <f aca="true" t="shared" si="153" ref="GT95:GT104">IF($H$117="no",ROUND($I$20*GO95,0)*($I$18*$I$19),0)</f>
        <v>2160</v>
      </c>
      <c r="GU95" s="107">
        <f aca="true" t="shared" si="154" ref="GU95:GU104">IF($H$117="yes",ROUND(GO95*$I$17,0)*$I$18*$I$19,0)</f>
        <v>0</v>
      </c>
      <c r="GV95" s="107">
        <v>0</v>
      </c>
      <c r="GW95" s="107">
        <v>0</v>
      </c>
      <c r="GX95" s="107">
        <v>0</v>
      </c>
      <c r="GY95" s="107">
        <v>0</v>
      </c>
      <c r="GZ95" s="107">
        <v>0</v>
      </c>
      <c r="HA95" s="107">
        <v>0</v>
      </c>
      <c r="HB95" s="107">
        <v>0</v>
      </c>
      <c r="HC95" s="107">
        <v>0</v>
      </c>
      <c r="HD95" s="107">
        <v>0</v>
      </c>
      <c r="HE95" s="107">
        <v>0</v>
      </c>
      <c r="HF95" s="107">
        <v>0</v>
      </c>
      <c r="HG95" s="107">
        <v>0</v>
      </c>
      <c r="HH95" s="107">
        <v>0</v>
      </c>
      <c r="HI95" s="107">
        <v>0</v>
      </c>
      <c r="HJ95" s="107">
        <v>0</v>
      </c>
      <c r="HK95" s="107">
        <v>0</v>
      </c>
      <c r="HL95" s="107">
        <v>0</v>
      </c>
      <c r="HM95" s="107">
        <v>0</v>
      </c>
      <c r="HN95" s="107">
        <v>0</v>
      </c>
      <c r="HO95" s="107">
        <v>0</v>
      </c>
      <c r="HP95" s="107">
        <v>0</v>
      </c>
      <c r="HQ95" s="107">
        <v>0</v>
      </c>
      <c r="HR95" s="107">
        <v>0</v>
      </c>
      <c r="HS95" s="107">
        <v>0</v>
      </c>
      <c r="HT95" s="107">
        <v>0</v>
      </c>
      <c r="HU95" s="107">
        <v>0</v>
      </c>
      <c r="HV95" s="107">
        <v>0</v>
      </c>
      <c r="HW95" s="107">
        <v>0</v>
      </c>
      <c r="HX95" s="107">
        <v>0</v>
      </c>
      <c r="HY95" s="107">
        <v>0</v>
      </c>
      <c r="HZ95" s="107">
        <v>0</v>
      </c>
      <c r="IA95" s="107">
        <v>0</v>
      </c>
      <c r="IB95" s="107">
        <v>0</v>
      </c>
      <c r="IC95" s="107">
        <v>0</v>
      </c>
      <c r="ID95" s="107">
        <v>0</v>
      </c>
      <c r="IE95" s="107">
        <v>0</v>
      </c>
      <c r="IF95" s="107">
        <v>0</v>
      </c>
      <c r="IG95" s="107">
        <v>0</v>
      </c>
      <c r="IH95" s="107">
        <v>0</v>
      </c>
      <c r="II95" s="107">
        <v>0</v>
      </c>
      <c r="IJ95" s="107">
        <v>0</v>
      </c>
      <c r="IK95" s="107">
        <v>0</v>
      </c>
      <c r="IL95" s="107">
        <f t="shared" si="140"/>
        <v>400234.6666666666</v>
      </c>
      <c r="IM95" s="107">
        <f t="shared" si="141"/>
        <v>210726.66666666666</v>
      </c>
      <c r="IN95" s="107">
        <f t="shared" si="142"/>
        <v>6480</v>
      </c>
      <c r="IO95" s="27">
        <f t="shared" si="142"/>
        <v>0</v>
      </c>
    </row>
    <row r="96" spans="1:249" ht="15.75">
      <c r="A96" s="480">
        <v>3000</v>
      </c>
      <c r="B96" s="412" t="s">
        <v>427</v>
      </c>
      <c r="C96" s="413" t="s">
        <v>144</v>
      </c>
      <c r="D96" s="482">
        <v>8</v>
      </c>
      <c r="E96" s="458">
        <f>D96*A96</f>
        <v>24000</v>
      </c>
      <c r="G96" s="394" t="s">
        <v>428</v>
      </c>
      <c r="H96" s="524">
        <v>10</v>
      </c>
      <c r="I96" s="501">
        <v>0.09</v>
      </c>
      <c r="J96" s="203"/>
      <c r="K96" s="325" t="s">
        <v>429</v>
      </c>
      <c r="L96" s="163">
        <f>ROUND($I$7*($I$17+$I$20),0)</f>
        <v>408</v>
      </c>
      <c r="M96" s="308">
        <f aca="true" t="shared" si="155" ref="M96:M111">L96-N96</f>
        <v>404</v>
      </c>
      <c r="N96" s="163">
        <f aca="true" t="shared" si="156" ref="N96:N111">ROUND($I$20*L96,0)</f>
        <v>4</v>
      </c>
      <c r="O96" s="162">
        <f>IF($H$120="yes",(M96*$I$36)-M96*($FR$38),(M96*$I$36)-M96*($FS$38))</f>
        <v>513080</v>
      </c>
      <c r="P96" s="162">
        <f>IF($H$120="yes",(N96*$I$36)-N96*($FR$38),(N96*$I$36)-N96*($FS$38))</f>
        <v>5080</v>
      </c>
      <c r="Q96" s="280">
        <f aca="true" t="shared" si="157" ref="Q96:Q111">M96*$H$138</f>
        <v>484800</v>
      </c>
      <c r="R96" s="323"/>
      <c r="S96" s="323">
        <f aca="true" t="shared" si="158" ref="S96:S111">Q96-O96</f>
        <v>-28280</v>
      </c>
      <c r="T96" s="280">
        <f aca="true" t="shared" si="159" ref="T96:T111">0-P96</f>
        <v>-5080</v>
      </c>
      <c r="FH96" s="62">
        <v>6</v>
      </c>
      <c r="FI96" s="107">
        <f t="shared" si="143"/>
        <v>150</v>
      </c>
      <c r="FJ96" s="107">
        <v>0</v>
      </c>
      <c r="FK96" s="107">
        <v>0</v>
      </c>
      <c r="FL96" s="107">
        <v>0</v>
      </c>
      <c r="FM96" s="107">
        <v>0</v>
      </c>
      <c r="FN96" s="107">
        <v>0</v>
      </c>
      <c r="FO96" s="107">
        <v>0</v>
      </c>
      <c r="FP96" s="107">
        <f t="shared" si="138"/>
        <v>1080</v>
      </c>
      <c r="FQ96" s="107">
        <f t="shared" si="139"/>
        <v>0</v>
      </c>
      <c r="FR96" s="107">
        <v>0</v>
      </c>
      <c r="FS96" s="107">
        <v>0</v>
      </c>
      <c r="FT96" s="107">
        <f t="shared" si="146"/>
        <v>77</v>
      </c>
      <c r="FU96" s="107">
        <f>IF($H$120="yes",FT96*$FR$95,0)</f>
        <v>0</v>
      </c>
      <c r="FV96" s="107">
        <f>IF($H$120="no",FT96*$FS$95,0)</f>
        <v>7494.666666666666</v>
      </c>
      <c r="FW96" s="107">
        <v>0</v>
      </c>
      <c r="FX96" s="107">
        <v>0</v>
      </c>
      <c r="FY96" s="107">
        <f t="shared" si="144"/>
        <v>540</v>
      </c>
      <c r="FZ96" s="107">
        <f t="shared" si="145"/>
        <v>0</v>
      </c>
      <c r="GA96" s="107">
        <f t="shared" si="149"/>
        <v>117</v>
      </c>
      <c r="GB96" s="107">
        <f>IF($H$120="yes",GA96*$FR$94,0)</f>
        <v>0</v>
      </c>
      <c r="GC96" s="107">
        <f>IF($H$120="no",GA96*$FS$94,0)</f>
        <v>22776</v>
      </c>
      <c r="GD96" s="107">
        <f>IF($H$120="yes",ROUND($I$17*GA96,0)*($FR$95),ROUND($I$17*GA96,0)*($FS$95))</f>
        <v>3796</v>
      </c>
      <c r="GE96" s="107">
        <f>IF($H$120="yes",ROUND($I$20*GA96,0)*($FR$95),ROUND($I$20*GA96,0)*($FS$95))</f>
        <v>97.33333333333333</v>
      </c>
      <c r="GF96" s="107">
        <f t="shared" si="147"/>
        <v>540</v>
      </c>
      <c r="GG96" s="107">
        <f t="shared" si="148"/>
        <v>0</v>
      </c>
      <c r="GH96" s="107">
        <f t="shared" si="152"/>
        <v>178</v>
      </c>
      <c r="GI96" s="107">
        <f>IF($H$120="yes",GH96*$FR$93,0)</f>
        <v>0</v>
      </c>
      <c r="GJ96" s="107">
        <f>IF($H$120="no",GH96*$FS$93,0)</f>
        <v>51976</v>
      </c>
      <c r="GK96" s="107">
        <f>IF($H$120="yes",ROUND($I$17*GH96,0)*($FR$94+$FR$95),ROUND($I$17*GH96,0)*($FS$94+$FS$95))</f>
        <v>17228</v>
      </c>
      <c r="GL96" s="107">
        <f>IF($H$120="yes",ROUND($I$20*GH96,0)*($FR$94+$FR$95),ROUND($I$20*GH96,0)*($FS$94+$FS$95))</f>
        <v>584</v>
      </c>
      <c r="GM96" s="107">
        <f t="shared" si="150"/>
        <v>1080</v>
      </c>
      <c r="GN96" s="107">
        <f t="shared" si="151"/>
        <v>0</v>
      </c>
      <c r="GO96" s="107">
        <f aca="true" t="shared" si="160" ref="GO96:GO104">ROUND(GO95-($I$17+$I$20)*GO95,0)</f>
        <v>269</v>
      </c>
      <c r="GP96" s="107">
        <f>IF($H$120="yes",GO96*$FR$92,0)</f>
        <v>0</v>
      </c>
      <c r="GQ96" s="107">
        <f>IF($H$120="no",GO96*$FS$92,0)</f>
        <v>104730.66666666666</v>
      </c>
      <c r="GR96" s="107">
        <f>IF($H$120="yes",ROUND($I$17*GO96,0)*($FR$93+$FR$94+$FR$95),ROUND($I$17*GO96,0)*($FS$93+$FS$94+$FS$95))</f>
        <v>51976</v>
      </c>
      <c r="GS96" s="107">
        <f>IF($H$120="yes",ROUND($I$20*GO96,0)*($FR$93+$FR$94+$FR$95),ROUND($I$20*GO96,0)*($FS$93+$FS$94+$FS$95))</f>
        <v>1752</v>
      </c>
      <c r="GT96" s="107">
        <f t="shared" si="153"/>
        <v>1620</v>
      </c>
      <c r="GU96" s="107">
        <f t="shared" si="154"/>
        <v>0</v>
      </c>
      <c r="GV96" s="107">
        <f>ROUND($I$7*($I$17+$I$20),0)</f>
        <v>408</v>
      </c>
      <c r="GW96" s="107">
        <f>IF($H$120="yes",GV96*$FR$91,0)</f>
        <v>0</v>
      </c>
      <c r="GX96" s="107">
        <f>IF($H$120="no",GV96*$FS$91,0)</f>
        <v>198560</v>
      </c>
      <c r="GY96" s="107">
        <f>IF($H$120="yes",ROUND($I$17*GV96,0)*($FR$92+$FR$93+$FR$94+$FR$95),ROUND($I$17*GV96,0)*($FS$92+$FS$93+$FS$94+$FS$95))</f>
        <v>131400</v>
      </c>
      <c r="GZ96" s="107">
        <f>IF($H$120="yes",ROUND($I$20*GV96,0)*($FR$92+$FR$93+$FR$94+$FR$95),ROUND($I$20*GV96,0)*($FS$92+$FS$93+$FS$94+$FS$95))</f>
        <v>3893.333333333333</v>
      </c>
      <c r="HA96" s="107">
        <f aca="true" t="shared" si="161" ref="HA96:HA105">IF($H$117="no",ROUND($I$20*GV96,0)*($I$18*$I$19),0)</f>
        <v>2160</v>
      </c>
      <c r="HB96" s="107">
        <f aca="true" t="shared" si="162" ref="HB96:HB105">IF($H$117="yes",ROUND(GV96*$I$17,0)*$I$18*$I$19,0)</f>
        <v>0</v>
      </c>
      <c r="HC96" s="107">
        <v>0</v>
      </c>
      <c r="HD96" s="107">
        <v>0</v>
      </c>
      <c r="HE96" s="107">
        <v>0</v>
      </c>
      <c r="HF96" s="107">
        <v>0</v>
      </c>
      <c r="HG96" s="107">
        <v>0</v>
      </c>
      <c r="HH96" s="107">
        <v>0</v>
      </c>
      <c r="HI96" s="107">
        <v>0</v>
      </c>
      <c r="HJ96" s="107">
        <v>0</v>
      </c>
      <c r="HK96" s="107">
        <v>0</v>
      </c>
      <c r="HL96" s="107">
        <v>0</v>
      </c>
      <c r="HM96" s="107">
        <v>0</v>
      </c>
      <c r="HN96" s="107">
        <v>0</v>
      </c>
      <c r="HO96" s="107">
        <v>0</v>
      </c>
      <c r="HP96" s="107">
        <v>0</v>
      </c>
      <c r="HQ96" s="107">
        <v>0</v>
      </c>
      <c r="HR96" s="107">
        <v>0</v>
      </c>
      <c r="HS96" s="107">
        <v>0</v>
      </c>
      <c r="HT96" s="107">
        <v>0</v>
      </c>
      <c r="HU96" s="107">
        <v>0</v>
      </c>
      <c r="HV96" s="107">
        <v>0</v>
      </c>
      <c r="HW96" s="107">
        <v>0</v>
      </c>
      <c r="HX96" s="107">
        <v>0</v>
      </c>
      <c r="HY96" s="107">
        <v>0</v>
      </c>
      <c r="HZ96" s="107">
        <v>0</v>
      </c>
      <c r="IA96" s="107">
        <v>0</v>
      </c>
      <c r="IB96" s="107">
        <v>0</v>
      </c>
      <c r="IC96" s="107">
        <v>0</v>
      </c>
      <c r="ID96" s="107">
        <v>0</v>
      </c>
      <c r="IE96" s="107">
        <v>0</v>
      </c>
      <c r="IF96" s="107">
        <v>0</v>
      </c>
      <c r="IG96" s="107">
        <v>0</v>
      </c>
      <c r="IH96" s="107">
        <v>0</v>
      </c>
      <c r="II96" s="107">
        <v>0</v>
      </c>
      <c r="IJ96" s="107">
        <v>0</v>
      </c>
      <c r="IK96" s="107">
        <v>0</v>
      </c>
      <c r="IL96" s="107">
        <f t="shared" si="140"/>
        <v>385537.3333333333</v>
      </c>
      <c r="IM96" s="107">
        <f t="shared" si="141"/>
        <v>210726.66666666666</v>
      </c>
      <c r="IN96" s="107">
        <f t="shared" si="142"/>
        <v>7020</v>
      </c>
      <c r="IO96" s="27">
        <f t="shared" si="142"/>
        <v>0</v>
      </c>
    </row>
    <row r="97" spans="1:249" ht="15.75">
      <c r="A97" s="480">
        <v>4500</v>
      </c>
      <c r="B97" s="412" t="s">
        <v>430</v>
      </c>
      <c r="C97" s="413" t="s">
        <v>144</v>
      </c>
      <c r="D97" s="482">
        <v>3</v>
      </c>
      <c r="E97" s="458">
        <f>D97*A97</f>
        <v>13500</v>
      </c>
      <c r="G97" s="394" t="s">
        <v>431</v>
      </c>
      <c r="H97" s="524">
        <v>5</v>
      </c>
      <c r="I97" s="501">
        <v>0.09</v>
      </c>
      <c r="J97" s="203"/>
      <c r="K97" s="326" t="s">
        <v>432</v>
      </c>
      <c r="L97" s="107">
        <f aca="true" t="shared" si="163" ref="L97:L111">ROUND(L96-($I$17+$I$20)*L96,0)</f>
        <v>269</v>
      </c>
      <c r="M97" s="328">
        <f t="shared" si="155"/>
        <v>266</v>
      </c>
      <c r="N97" s="107">
        <f t="shared" si="156"/>
        <v>3</v>
      </c>
      <c r="O97" s="107">
        <f>IF($H$120="yes",(M97*$I$36)-M97*($FR$38+$FR$39),(M97*$I$36)-M97*($FS$38+$FS$39))</f>
        <v>208366.66666666663</v>
      </c>
      <c r="P97" s="107">
        <f>IF($H$120="yes",(N97*$I$36)-N97*($FR$38+$FR$39),(N97*$I$36)-N97*($FS$38+$FS$39))</f>
        <v>2350</v>
      </c>
      <c r="Q97" s="107">
        <f t="shared" si="157"/>
        <v>319200</v>
      </c>
      <c r="R97" s="96"/>
      <c r="S97" s="96">
        <f t="shared" si="158"/>
        <v>110833.33333333337</v>
      </c>
      <c r="T97" s="107">
        <f t="shared" si="159"/>
        <v>-2350</v>
      </c>
      <c r="FH97" s="62">
        <v>7</v>
      </c>
      <c r="FI97" s="107">
        <f t="shared" si="143"/>
        <v>99</v>
      </c>
      <c r="FJ97" s="107">
        <v>0</v>
      </c>
      <c r="FK97" s="107">
        <v>0</v>
      </c>
      <c r="FL97" s="107">
        <v>0</v>
      </c>
      <c r="FM97" s="107">
        <v>0</v>
      </c>
      <c r="FN97" s="107">
        <v>0</v>
      </c>
      <c r="FO97" s="107">
        <v>0</v>
      </c>
      <c r="FP97" s="107">
        <f t="shared" si="138"/>
        <v>540</v>
      </c>
      <c r="FQ97" s="107">
        <f t="shared" si="139"/>
        <v>0</v>
      </c>
      <c r="FR97" s="107">
        <v>0</v>
      </c>
      <c r="FS97" s="107">
        <v>0</v>
      </c>
      <c r="FT97" s="107">
        <f t="shared" si="146"/>
        <v>51</v>
      </c>
      <c r="FU97" s="107">
        <v>0</v>
      </c>
      <c r="FV97" s="107">
        <v>0</v>
      </c>
      <c r="FW97" s="107">
        <v>0</v>
      </c>
      <c r="FX97" s="107">
        <v>0</v>
      </c>
      <c r="FY97" s="107">
        <f t="shared" si="144"/>
        <v>540</v>
      </c>
      <c r="FZ97" s="107">
        <f t="shared" si="145"/>
        <v>0</v>
      </c>
      <c r="GA97" s="107">
        <f t="shared" si="149"/>
        <v>77</v>
      </c>
      <c r="GB97" s="107">
        <f>IF($H$120="yes",GA97*$FR$95,0)</f>
        <v>0</v>
      </c>
      <c r="GC97" s="107">
        <f>IF($H$120="no",GA97*$FS$95,0)</f>
        <v>7494.666666666666</v>
      </c>
      <c r="GD97" s="107">
        <v>0</v>
      </c>
      <c r="GE97" s="107">
        <v>0</v>
      </c>
      <c r="GF97" s="107">
        <f t="shared" si="147"/>
        <v>540</v>
      </c>
      <c r="GG97" s="107">
        <f t="shared" si="148"/>
        <v>0</v>
      </c>
      <c r="GH97" s="107">
        <f t="shared" si="152"/>
        <v>117</v>
      </c>
      <c r="GI97" s="107">
        <f>IF($H$120="yes",GH97*$FR$94,0)</f>
        <v>0</v>
      </c>
      <c r="GJ97" s="107">
        <f>IF($H$120="no",GH97*$FS$94,0)</f>
        <v>22776</v>
      </c>
      <c r="GK97" s="107">
        <f>IF($H$120="yes",ROUND($I$17*GH97,0)*($FR$95),ROUND($I$17*GH97,0)*($FS$95))</f>
        <v>3796</v>
      </c>
      <c r="GL97" s="107">
        <f>IF($H$120="yes",ROUND($I$20*GH97,0)*($FR$95),ROUND($I$20*GH97,0)*($FS$95))</f>
        <v>97.33333333333333</v>
      </c>
      <c r="GM97" s="107">
        <f t="shared" si="150"/>
        <v>540</v>
      </c>
      <c r="GN97" s="107">
        <f t="shared" si="151"/>
        <v>0</v>
      </c>
      <c r="GO97" s="107">
        <f t="shared" si="160"/>
        <v>178</v>
      </c>
      <c r="GP97" s="107">
        <f>IF($H$120="yes",GO97*$FR$93,0)</f>
        <v>0</v>
      </c>
      <c r="GQ97" s="107">
        <f>IF($H$120="no",GO97*$FS$93,0)</f>
        <v>51976</v>
      </c>
      <c r="GR97" s="107">
        <f>IF($H$120="yes",ROUND($I$17*GO97,0)*($FR$94+$FR$95),ROUND($I$17*GO97,0)*($FS$94+$FS$95))</f>
        <v>17228</v>
      </c>
      <c r="GS97" s="107">
        <f>IF($H$120="yes",ROUND($I$20*GO97,0)*($FR$94+$FR$95),ROUND($I$20*GO97,0)*($FS$94+$FS$95))</f>
        <v>584</v>
      </c>
      <c r="GT97" s="107">
        <f t="shared" si="153"/>
        <v>1080</v>
      </c>
      <c r="GU97" s="107">
        <f t="shared" si="154"/>
        <v>0</v>
      </c>
      <c r="GV97" s="107">
        <f aca="true" t="shared" si="164" ref="GV97:GV105">ROUND(GV96-($I$17+$I$20)*GV96,0)</f>
        <v>269</v>
      </c>
      <c r="GW97" s="107">
        <f>IF($H$120="yes",GV97*$FR$92,0)</f>
        <v>0</v>
      </c>
      <c r="GX97" s="107">
        <f>IF($H$120="no",GV97*$FS$92,0)</f>
        <v>104730.66666666666</v>
      </c>
      <c r="GY97" s="107">
        <f>IF($H$120="yes",ROUND($I$17*GV97,0)*($FR$93+$FR$94+$FR$95),ROUND($I$17*GV97,0)*($FS$93+$FS$94+$FS$95))</f>
        <v>51976</v>
      </c>
      <c r="GZ97" s="107">
        <f>IF($H$120="yes",ROUND($I$20*GV97,0)*($FR$93+$FR$94+$FR$95),ROUND($I$20*GV97,0)*($FS$93+$FS$94+$FS$95))</f>
        <v>1752</v>
      </c>
      <c r="HA97" s="107">
        <f t="shared" si="161"/>
        <v>1620</v>
      </c>
      <c r="HB97" s="107">
        <f t="shared" si="162"/>
        <v>0</v>
      </c>
      <c r="HC97" s="107">
        <f>ROUND($I$7*($I$17+$I$20),0)</f>
        <v>408</v>
      </c>
      <c r="HD97" s="107">
        <f>IF($H$120="yes",HC97*$FR$91,0)</f>
        <v>0</v>
      </c>
      <c r="HE97" s="107">
        <f>IF($H$120="no",HC97*$FS$91,0)</f>
        <v>198560</v>
      </c>
      <c r="HF97" s="107">
        <f>IF($H$120="yes",ROUND($I$17*HC97,0)*($FR$92+$FR$93+$FR$94+$FR$95),ROUND($I$17*HC97,0)*($FS$92+$FS$93+$FS$94+$FS$95))</f>
        <v>131400</v>
      </c>
      <c r="HG97" s="107">
        <f>IF($H$120="yes",ROUND($I$20*HC97,0)*($FR$92+$FR$93+$FR$94+$FR$95),ROUND($I$20*HC97,0)*($FS$92+$FS$93+$FS$94+$FS$95))</f>
        <v>3893.333333333333</v>
      </c>
      <c r="HH97" s="107">
        <f aca="true" t="shared" si="165" ref="HH97:HH106">IF($H$117="no",ROUND($I$20*HC97,0)*($I$18*$I$19),0)</f>
        <v>2160</v>
      </c>
      <c r="HI97" s="107">
        <f aca="true" t="shared" si="166" ref="HI97:HI106">IF($H$117="yes",ROUND(HC97*$I$17,0)*$I$18*$I$19,0)</f>
        <v>0</v>
      </c>
      <c r="HJ97" s="107">
        <v>0</v>
      </c>
      <c r="HK97" s="107">
        <v>0</v>
      </c>
      <c r="HL97" s="107">
        <v>0</v>
      </c>
      <c r="HM97" s="107">
        <v>0</v>
      </c>
      <c r="HN97" s="107">
        <v>0</v>
      </c>
      <c r="HO97" s="107">
        <v>0</v>
      </c>
      <c r="HP97" s="107">
        <v>0</v>
      </c>
      <c r="HQ97" s="107">
        <v>0</v>
      </c>
      <c r="HR97" s="107">
        <v>0</v>
      </c>
      <c r="HS97" s="107">
        <v>0</v>
      </c>
      <c r="HT97" s="107">
        <v>0</v>
      </c>
      <c r="HU97" s="107">
        <v>0</v>
      </c>
      <c r="HV97" s="107">
        <v>0</v>
      </c>
      <c r="HW97" s="107">
        <v>0</v>
      </c>
      <c r="HX97" s="107">
        <v>0</v>
      </c>
      <c r="HY97" s="107">
        <v>0</v>
      </c>
      <c r="HZ97" s="107">
        <v>0</v>
      </c>
      <c r="IA97" s="107">
        <v>0</v>
      </c>
      <c r="IB97" s="107">
        <v>0</v>
      </c>
      <c r="IC97" s="107">
        <v>0</v>
      </c>
      <c r="ID97" s="107">
        <v>0</v>
      </c>
      <c r="IE97" s="107">
        <v>0</v>
      </c>
      <c r="IF97" s="107">
        <v>0</v>
      </c>
      <c r="IG97" s="107">
        <v>0</v>
      </c>
      <c r="IH97" s="107">
        <v>0</v>
      </c>
      <c r="II97" s="107">
        <v>0</v>
      </c>
      <c r="IJ97" s="107">
        <v>0</v>
      </c>
      <c r="IK97" s="107">
        <v>0</v>
      </c>
      <c r="IL97" s="107">
        <f t="shared" si="140"/>
        <v>385537.3333333333</v>
      </c>
      <c r="IM97" s="107">
        <f t="shared" si="141"/>
        <v>210726.66666666666</v>
      </c>
      <c r="IN97" s="107">
        <f t="shared" si="142"/>
        <v>7020</v>
      </c>
      <c r="IO97" s="27">
        <f t="shared" si="142"/>
        <v>0</v>
      </c>
    </row>
    <row r="98" spans="1:249" ht="16.5" thickBot="1">
      <c r="A98" s="481">
        <v>1</v>
      </c>
      <c r="B98" s="414" t="s">
        <v>433</v>
      </c>
      <c r="C98" s="415" t="s">
        <v>209</v>
      </c>
      <c r="D98" s="486">
        <v>8500</v>
      </c>
      <c r="E98" s="459">
        <f>D98*A98</f>
        <v>8500</v>
      </c>
      <c r="G98" s="394" t="s">
        <v>434</v>
      </c>
      <c r="H98" s="524">
        <v>10</v>
      </c>
      <c r="I98" s="501">
        <v>0.09</v>
      </c>
      <c r="J98" s="203"/>
      <c r="K98" s="326" t="s">
        <v>435</v>
      </c>
      <c r="L98" s="107">
        <f t="shared" si="163"/>
        <v>178</v>
      </c>
      <c r="M98" s="328">
        <f t="shared" si="155"/>
        <v>176</v>
      </c>
      <c r="N98" s="107">
        <f t="shared" si="156"/>
        <v>2</v>
      </c>
      <c r="O98" s="107">
        <f aca="true" t="shared" si="167" ref="O98:P111">$I$18*$I$19*M98</f>
        <v>95040</v>
      </c>
      <c r="P98" s="107">
        <f t="shared" si="167"/>
        <v>1080</v>
      </c>
      <c r="Q98" s="107">
        <f t="shared" si="157"/>
        <v>211200</v>
      </c>
      <c r="R98" s="96"/>
      <c r="S98" s="96">
        <f t="shared" si="158"/>
        <v>116160</v>
      </c>
      <c r="T98" s="107">
        <f t="shared" si="159"/>
        <v>-1080</v>
      </c>
      <c r="FH98" s="62">
        <v>8</v>
      </c>
      <c r="FI98" s="107">
        <f t="shared" si="143"/>
        <v>65</v>
      </c>
      <c r="FJ98" s="107">
        <v>0</v>
      </c>
      <c r="FK98" s="107">
        <v>0</v>
      </c>
      <c r="FL98" s="107">
        <v>0</v>
      </c>
      <c r="FM98" s="107">
        <v>0</v>
      </c>
      <c r="FN98" s="107">
        <v>0</v>
      </c>
      <c r="FO98" s="107">
        <v>0</v>
      </c>
      <c r="FP98" s="107">
        <f t="shared" si="138"/>
        <v>540</v>
      </c>
      <c r="FQ98" s="107">
        <f t="shared" si="139"/>
        <v>0</v>
      </c>
      <c r="FR98" s="107">
        <v>0</v>
      </c>
      <c r="FS98" s="107">
        <v>0</v>
      </c>
      <c r="FT98" s="107">
        <f t="shared" si="146"/>
        <v>34</v>
      </c>
      <c r="FU98" s="107">
        <v>0</v>
      </c>
      <c r="FV98" s="107">
        <v>0</v>
      </c>
      <c r="FW98" s="107">
        <v>0</v>
      </c>
      <c r="FX98" s="107">
        <v>0</v>
      </c>
      <c r="FY98" s="107">
        <f t="shared" si="144"/>
        <v>0</v>
      </c>
      <c r="FZ98" s="107">
        <f t="shared" si="145"/>
        <v>0</v>
      </c>
      <c r="GA98" s="107">
        <f t="shared" si="149"/>
        <v>51</v>
      </c>
      <c r="GB98" s="107">
        <v>0</v>
      </c>
      <c r="GC98" s="107">
        <v>0</v>
      </c>
      <c r="GD98" s="107">
        <v>0</v>
      </c>
      <c r="GE98" s="107">
        <v>0</v>
      </c>
      <c r="GF98" s="107">
        <f t="shared" si="147"/>
        <v>540</v>
      </c>
      <c r="GG98" s="107">
        <f t="shared" si="148"/>
        <v>0</v>
      </c>
      <c r="GH98" s="107">
        <f t="shared" si="152"/>
        <v>77</v>
      </c>
      <c r="GI98" s="107">
        <f>IF($H$120="yes",GH98*$FR$95,0)</f>
        <v>0</v>
      </c>
      <c r="GJ98" s="107">
        <f>IF($H$120="no",GH98*$FS$95,0)</f>
        <v>7494.666666666666</v>
      </c>
      <c r="GK98" s="107">
        <v>0</v>
      </c>
      <c r="GL98" s="107">
        <v>0</v>
      </c>
      <c r="GM98" s="107">
        <f t="shared" si="150"/>
        <v>540</v>
      </c>
      <c r="GN98" s="107">
        <f t="shared" si="151"/>
        <v>0</v>
      </c>
      <c r="GO98" s="107">
        <f t="shared" si="160"/>
        <v>117</v>
      </c>
      <c r="GP98" s="107">
        <f>IF($H$120="yes",GO98*$FR$94,0)</f>
        <v>0</v>
      </c>
      <c r="GQ98" s="107">
        <f>IF($H$120="no",GO98*$FS$94,0)</f>
        <v>22776</v>
      </c>
      <c r="GR98" s="107">
        <f>IF($H$120="yes",ROUND($I$17*GO98,0)*($FR$95),ROUND($I$17*GO98,0)*($FS$95))</f>
        <v>3796</v>
      </c>
      <c r="GS98" s="107">
        <f>IF($H$120="yes",ROUND($I$20*GO98,0)*($FR$95),ROUND($I$20*GO98,0)*($FS$95))</f>
        <v>97.33333333333333</v>
      </c>
      <c r="GT98" s="107">
        <f t="shared" si="153"/>
        <v>540</v>
      </c>
      <c r="GU98" s="107">
        <f t="shared" si="154"/>
        <v>0</v>
      </c>
      <c r="GV98" s="107">
        <f t="shared" si="164"/>
        <v>178</v>
      </c>
      <c r="GW98" s="107">
        <f>IF($H$120="yes",GV98*$FR$93,0)</f>
        <v>0</v>
      </c>
      <c r="GX98" s="107">
        <f>IF($H$120="no",GV98*$FS$93,0)</f>
        <v>51976</v>
      </c>
      <c r="GY98" s="107">
        <f>IF($H$120="yes",ROUND($I$17*GV98,0)*($FR$94+$FR$95),ROUND($I$17*GV98,0)*($FS$94+$FS$95))</f>
        <v>17228</v>
      </c>
      <c r="GZ98" s="107">
        <f>IF($H$120="yes",ROUND($I$20*GV98,0)*($FR$94+$FR$95),ROUND($I$20*GV98,0)*($FS$94+$FS$95))</f>
        <v>584</v>
      </c>
      <c r="HA98" s="107">
        <f t="shared" si="161"/>
        <v>1080</v>
      </c>
      <c r="HB98" s="107">
        <f t="shared" si="162"/>
        <v>0</v>
      </c>
      <c r="HC98" s="107">
        <f aca="true" t="shared" si="168" ref="HC98:HC106">ROUND(HC97-($I$17+$I$20)*HC97,0)</f>
        <v>269</v>
      </c>
      <c r="HD98" s="107">
        <f>IF($H$120="yes",HC98*$FR$92,0)</f>
        <v>0</v>
      </c>
      <c r="HE98" s="107">
        <f>IF($H$120="no",HC98*$FS$92,0)</f>
        <v>104730.66666666666</v>
      </c>
      <c r="HF98" s="107">
        <f>IF($H$120="yes",ROUND($I$17*HC98,0)*($FR$93+$FR$94+$FR$95),ROUND($I$17*HC98,0)*($FS$93+$FS$94+$FS$95))</f>
        <v>51976</v>
      </c>
      <c r="HG98" s="107">
        <f>IF($H$120="yes",ROUND($I$20*HC98,0)*($FR$93+$FR$94+$FR$95),ROUND($I$20*HC98,0)*($FS$93+$FS$94+$FS$95))</f>
        <v>1752</v>
      </c>
      <c r="HH98" s="107">
        <f t="shared" si="165"/>
        <v>1620</v>
      </c>
      <c r="HI98" s="107">
        <f t="shared" si="166"/>
        <v>0</v>
      </c>
      <c r="HJ98" s="107">
        <f>ROUND($I$7*($I$17+$I$20),0)</f>
        <v>408</v>
      </c>
      <c r="HK98" s="107">
        <f>IF($H$120="yes",HJ98*$FR$91,0)</f>
        <v>0</v>
      </c>
      <c r="HL98" s="107">
        <f>IF($H$120="no",HJ98*$FS$91,0)</f>
        <v>198560</v>
      </c>
      <c r="HM98" s="107">
        <f>IF($H$120="yes",ROUND($I$17*HJ98,0)*($FR$92+$FR$93+$FR$94+$FR$95),ROUND($I$17*HJ98,0)*($FS$92+$FS$93+$FS$94+$FS$95))</f>
        <v>131400</v>
      </c>
      <c r="HN98" s="107">
        <f>IF($H$120="yes",ROUND($I$20*HJ98,0)*($FR$92+$FR$93+$FR$94+$FR$95),ROUND($I$20*HJ98,0)*($FS$92+$FS$93+$FS$94+$FS$95))</f>
        <v>3893.333333333333</v>
      </c>
      <c r="HO98" s="107">
        <f aca="true" t="shared" si="169" ref="HO98:HO107">IF($H$117="no",ROUND($I$20*HJ98,0)*($I$18*$I$19),)</f>
        <v>2160</v>
      </c>
      <c r="HP98" s="107">
        <f aca="true" t="shared" si="170" ref="HP98:HP107">IF($H$117="yes",ROUND(HJ98*$I$17,0)*$I$18*$I$19,0)</f>
        <v>0</v>
      </c>
      <c r="HQ98" s="107">
        <v>0</v>
      </c>
      <c r="HR98" s="107">
        <v>0</v>
      </c>
      <c r="HS98" s="107">
        <v>0</v>
      </c>
      <c r="HT98" s="107">
        <v>0</v>
      </c>
      <c r="HU98" s="107">
        <v>0</v>
      </c>
      <c r="HV98" s="107">
        <v>0</v>
      </c>
      <c r="HW98" s="107">
        <v>0</v>
      </c>
      <c r="HX98" s="107">
        <v>0</v>
      </c>
      <c r="HY98" s="107">
        <v>0</v>
      </c>
      <c r="HZ98" s="107">
        <v>0</v>
      </c>
      <c r="IA98" s="107">
        <v>0</v>
      </c>
      <c r="IB98" s="107">
        <v>0</v>
      </c>
      <c r="IC98" s="107">
        <v>0</v>
      </c>
      <c r="ID98" s="107">
        <v>0</v>
      </c>
      <c r="IE98" s="107">
        <v>0</v>
      </c>
      <c r="IF98" s="107">
        <v>0</v>
      </c>
      <c r="IG98" s="107">
        <v>0</v>
      </c>
      <c r="IH98" s="107">
        <v>0</v>
      </c>
      <c r="II98" s="107">
        <v>0</v>
      </c>
      <c r="IJ98" s="107">
        <v>0</v>
      </c>
      <c r="IK98" s="107">
        <v>0</v>
      </c>
      <c r="IL98" s="107">
        <f t="shared" si="140"/>
        <v>385537.3333333333</v>
      </c>
      <c r="IM98" s="107">
        <f t="shared" si="141"/>
        <v>210726.66666666666</v>
      </c>
      <c r="IN98" s="107">
        <f t="shared" si="142"/>
        <v>7020</v>
      </c>
      <c r="IO98" s="27">
        <f t="shared" si="142"/>
        <v>0</v>
      </c>
    </row>
    <row r="99" spans="1:249" ht="16.5" thickTop="1">
      <c r="A99" s="13"/>
      <c r="B99" s="418"/>
      <c r="C99" s="425"/>
      <c r="D99" s="376" t="s">
        <v>104</v>
      </c>
      <c r="E99" s="368">
        <f>ROUND(SUM(E94:E98),0)</f>
        <v>135000</v>
      </c>
      <c r="G99" s="394" t="s">
        <v>436</v>
      </c>
      <c r="H99" s="524">
        <v>10</v>
      </c>
      <c r="I99" s="501">
        <v>0.09</v>
      </c>
      <c r="J99" s="203"/>
      <c r="K99" s="326" t="s">
        <v>437</v>
      </c>
      <c r="L99" s="107">
        <f t="shared" si="163"/>
        <v>117</v>
      </c>
      <c r="M99" s="328">
        <f t="shared" si="155"/>
        <v>116</v>
      </c>
      <c r="N99" s="107">
        <f t="shared" si="156"/>
        <v>1</v>
      </c>
      <c r="O99" s="107">
        <f t="shared" si="167"/>
        <v>62640</v>
      </c>
      <c r="P99" s="107">
        <f t="shared" si="167"/>
        <v>540</v>
      </c>
      <c r="Q99" s="107">
        <f t="shared" si="157"/>
        <v>139200</v>
      </c>
      <c r="R99" s="96"/>
      <c r="S99" s="96">
        <f t="shared" si="158"/>
        <v>76560</v>
      </c>
      <c r="T99" s="107">
        <f t="shared" si="159"/>
        <v>-540</v>
      </c>
      <c r="FH99" s="62">
        <v>9</v>
      </c>
      <c r="FI99" s="107">
        <f t="shared" si="143"/>
        <v>43</v>
      </c>
      <c r="FJ99" s="107">
        <v>0</v>
      </c>
      <c r="FK99" s="107">
        <v>0</v>
      </c>
      <c r="FL99" s="107">
        <v>0</v>
      </c>
      <c r="FM99" s="107">
        <v>0</v>
      </c>
      <c r="FN99" s="107">
        <v>0</v>
      </c>
      <c r="FO99" s="107">
        <v>0</v>
      </c>
      <c r="FP99" s="107">
        <f t="shared" si="138"/>
        <v>0</v>
      </c>
      <c r="FQ99" s="107">
        <f t="shared" si="139"/>
        <v>0</v>
      </c>
      <c r="FR99" s="107">
        <v>0</v>
      </c>
      <c r="FS99" s="107">
        <v>0</v>
      </c>
      <c r="FT99" s="107">
        <f t="shared" si="146"/>
        <v>22</v>
      </c>
      <c r="FU99" s="107">
        <v>0</v>
      </c>
      <c r="FV99" s="107">
        <v>0</v>
      </c>
      <c r="FW99" s="107">
        <v>0</v>
      </c>
      <c r="FX99" s="107">
        <v>0</v>
      </c>
      <c r="FY99" s="107">
        <f t="shared" si="144"/>
        <v>0</v>
      </c>
      <c r="FZ99" s="107">
        <f t="shared" si="145"/>
        <v>0</v>
      </c>
      <c r="GA99" s="107">
        <f t="shared" si="149"/>
        <v>34</v>
      </c>
      <c r="GB99" s="107">
        <v>0</v>
      </c>
      <c r="GC99" s="107">
        <v>0</v>
      </c>
      <c r="GD99" s="107">
        <v>0</v>
      </c>
      <c r="GE99" s="107">
        <v>0</v>
      </c>
      <c r="GF99" s="107">
        <f t="shared" si="147"/>
        <v>0</v>
      </c>
      <c r="GG99" s="107">
        <f t="shared" si="148"/>
        <v>0</v>
      </c>
      <c r="GH99" s="107">
        <f t="shared" si="152"/>
        <v>51</v>
      </c>
      <c r="GI99" s="107">
        <v>0</v>
      </c>
      <c r="GJ99" s="107">
        <v>0</v>
      </c>
      <c r="GK99" s="107">
        <v>0</v>
      </c>
      <c r="GL99" s="107">
        <v>0</v>
      </c>
      <c r="GM99" s="107">
        <f t="shared" si="150"/>
        <v>540</v>
      </c>
      <c r="GN99" s="107">
        <f t="shared" si="151"/>
        <v>0</v>
      </c>
      <c r="GO99" s="107">
        <f t="shared" si="160"/>
        <v>77</v>
      </c>
      <c r="GP99" s="107">
        <f>IF($H$120="yes",GO99*$FR$95,0)</f>
        <v>0</v>
      </c>
      <c r="GQ99" s="107">
        <f>IF($H$120="no",GO99*$FS$95,0)</f>
        <v>7494.666666666666</v>
      </c>
      <c r="GR99" s="107">
        <v>0</v>
      </c>
      <c r="GS99" s="107">
        <v>0</v>
      </c>
      <c r="GT99" s="107">
        <f t="shared" si="153"/>
        <v>540</v>
      </c>
      <c r="GU99" s="107">
        <f t="shared" si="154"/>
        <v>0</v>
      </c>
      <c r="GV99" s="107">
        <f t="shared" si="164"/>
        <v>117</v>
      </c>
      <c r="GW99" s="107">
        <f>IF($H$120="yes",GV99*$FR$94,0)</f>
        <v>0</v>
      </c>
      <c r="GX99" s="107">
        <f>IF($H$120="no",GV99*$FS$94,0)</f>
        <v>22776</v>
      </c>
      <c r="GY99" s="107">
        <f>IF($H$120="yes",ROUND($I$17*GV99,0)*($FR$95),ROUND($I$17*GV99,0)*($FS$95))</f>
        <v>3796</v>
      </c>
      <c r="GZ99" s="107">
        <f>IF($H$120="yes",ROUND($I$20*GV99,0)*($FR$95),ROUND($I$20*GV99,0)*($FS$95))</f>
        <v>97.33333333333333</v>
      </c>
      <c r="HA99" s="107">
        <f t="shared" si="161"/>
        <v>540</v>
      </c>
      <c r="HB99" s="107">
        <f t="shared" si="162"/>
        <v>0</v>
      </c>
      <c r="HC99" s="107">
        <f t="shared" si="168"/>
        <v>178</v>
      </c>
      <c r="HD99" s="107">
        <f>IF($H$120="yes",HC99*$FR$93,0)</f>
        <v>0</v>
      </c>
      <c r="HE99" s="107">
        <f>IF($H$120="no",HC99*$FS$93,0)</f>
        <v>51976</v>
      </c>
      <c r="HF99" s="107">
        <f>IF($H$120="yes",ROUND($I$17*HC99,0)*($FR$94+$FR$95),ROUND($I$17*HC99,0)*($FS$94+$FS$95))</f>
        <v>17228</v>
      </c>
      <c r="HG99" s="107">
        <f>IF($H$120="yes",ROUND($I$20*HC99,0)*($FR$94+$FR$95),ROUND($I$20*HC99,0)*($FS$94+$FS$95))</f>
        <v>584</v>
      </c>
      <c r="HH99" s="107">
        <f t="shared" si="165"/>
        <v>1080</v>
      </c>
      <c r="HI99" s="107">
        <f t="shared" si="166"/>
        <v>0</v>
      </c>
      <c r="HJ99" s="107">
        <f aca="true" t="shared" si="171" ref="HJ99:HJ107">ROUND(HJ98-($I$17+$I$20)*HJ98,0)</f>
        <v>269</v>
      </c>
      <c r="HK99" s="107">
        <f>IF($H$120="yes",HJ99*$FR$92,0)</f>
        <v>0</v>
      </c>
      <c r="HL99" s="107">
        <f>IF($H$120="no",HJ99*$FS$92,0)</f>
        <v>104730.66666666666</v>
      </c>
      <c r="HM99" s="107">
        <f>IF($H$120="yes",ROUND($I$17*HJ99,0)*($FR$93+$FR$94+$FR$95),ROUND($I$17*HJ99,0)*($FS$93+$FS$94+$FS$95))</f>
        <v>51976</v>
      </c>
      <c r="HN99" s="107">
        <f>IF($H$120="yes",ROUND($I$20*HJ99,0)*($FR$93+$FR$94+$FR$95),ROUND($I$20*HJ99,0)*($FS$93+$FS$94+$FS$95))</f>
        <v>1752</v>
      </c>
      <c r="HO99" s="107">
        <f t="shared" si="169"/>
        <v>1620</v>
      </c>
      <c r="HP99" s="107">
        <f t="shared" si="170"/>
        <v>0</v>
      </c>
      <c r="HQ99" s="107">
        <f>ROUND($I$7*($I$17+$I$20),0)</f>
        <v>408</v>
      </c>
      <c r="HR99" s="107">
        <f>IF($H$120="yes",HQ99*$FR$91,0)</f>
        <v>0</v>
      </c>
      <c r="HS99" s="107">
        <f>IF($H$120="no",HQ99*$FS$91,0)</f>
        <v>198560</v>
      </c>
      <c r="HT99" s="107">
        <f>IF($H$120="yes",ROUND($I$17*HQ99,0)*($FR$92+$FR$93+$FR$94+$FR$95),ROUND($I$17*HQ99,0)*($FS$92+$FS$93+$FS$94+$FS$95))</f>
        <v>131400</v>
      </c>
      <c r="HU99" s="107">
        <f>IF($H$120="yes",ROUND($I$20*HQ99,0)*($FR$92+$FR$93+$FR$94+$FR$95),ROUND($I$20*HQ99,0)*($FS$92+$FS$93+$FS$94+$FS$95))</f>
        <v>3893.333333333333</v>
      </c>
      <c r="HV99" s="107">
        <f aca="true" t="shared" si="172" ref="HV99:HV108">IF($H$117="no",ROUND($I$20*HQ99,0)*($I$18*$I$19),0)</f>
        <v>2160</v>
      </c>
      <c r="HW99" s="107">
        <f aca="true" t="shared" si="173" ref="HW99:HW108">IF($H$117="yes",ROUND(HQ99*$I$17,0)*$I$18*$I$19,0)</f>
        <v>0</v>
      </c>
      <c r="HX99" s="107">
        <v>0</v>
      </c>
      <c r="HY99" s="107">
        <v>0</v>
      </c>
      <c r="HZ99" s="107">
        <v>0</v>
      </c>
      <c r="IA99" s="107">
        <v>0</v>
      </c>
      <c r="IB99" s="107">
        <v>0</v>
      </c>
      <c r="IC99" s="107">
        <v>0</v>
      </c>
      <c r="ID99" s="107">
        <v>0</v>
      </c>
      <c r="IE99" s="107">
        <v>0</v>
      </c>
      <c r="IF99" s="107">
        <v>0</v>
      </c>
      <c r="IG99" s="107">
        <v>0</v>
      </c>
      <c r="IH99" s="107">
        <v>0</v>
      </c>
      <c r="II99" s="107">
        <v>0</v>
      </c>
      <c r="IJ99" s="107">
        <v>0</v>
      </c>
      <c r="IK99" s="107">
        <v>0</v>
      </c>
      <c r="IL99" s="107">
        <f t="shared" si="140"/>
        <v>385537.3333333333</v>
      </c>
      <c r="IM99" s="107">
        <f t="shared" si="141"/>
        <v>210726.66666666666</v>
      </c>
      <c r="IN99" s="107">
        <f t="shared" si="142"/>
        <v>6480</v>
      </c>
      <c r="IO99" s="27">
        <f t="shared" si="142"/>
        <v>0</v>
      </c>
    </row>
    <row r="100" spans="1:249" ht="16.5" thickBot="1">
      <c r="A100" s="1" t="s">
        <v>438</v>
      </c>
      <c r="B100" s="418"/>
      <c r="C100" s="425"/>
      <c r="D100" s="365"/>
      <c r="E100" s="364"/>
      <c r="G100" s="394" t="s">
        <v>439</v>
      </c>
      <c r="H100" s="524">
        <v>10</v>
      </c>
      <c r="I100" s="501">
        <v>0.09</v>
      </c>
      <c r="J100" s="203"/>
      <c r="K100" s="326" t="s">
        <v>440</v>
      </c>
      <c r="L100" s="107">
        <f t="shared" si="163"/>
        <v>77</v>
      </c>
      <c r="M100" s="328">
        <f t="shared" si="155"/>
        <v>76</v>
      </c>
      <c r="N100" s="107">
        <f t="shared" si="156"/>
        <v>1</v>
      </c>
      <c r="O100" s="107">
        <f t="shared" si="167"/>
        <v>41040</v>
      </c>
      <c r="P100" s="107">
        <f t="shared" si="167"/>
        <v>540</v>
      </c>
      <c r="Q100" s="107">
        <f t="shared" si="157"/>
        <v>91200</v>
      </c>
      <c r="R100" s="96"/>
      <c r="S100" s="96">
        <f t="shared" si="158"/>
        <v>50160</v>
      </c>
      <c r="T100" s="107">
        <f t="shared" si="159"/>
        <v>-540</v>
      </c>
      <c r="FH100" s="62">
        <v>10</v>
      </c>
      <c r="FI100" s="107">
        <f t="shared" si="143"/>
        <v>28</v>
      </c>
      <c r="FJ100" s="107">
        <v>0</v>
      </c>
      <c r="FK100" s="107">
        <v>0</v>
      </c>
      <c r="FL100" s="107">
        <v>0</v>
      </c>
      <c r="FM100" s="107">
        <v>0</v>
      </c>
      <c r="FN100" s="107">
        <v>0</v>
      </c>
      <c r="FO100" s="107">
        <v>0</v>
      </c>
      <c r="FP100" s="107">
        <f t="shared" si="138"/>
        <v>0</v>
      </c>
      <c r="FQ100" s="107">
        <f t="shared" si="139"/>
        <v>0</v>
      </c>
      <c r="FR100" s="107">
        <v>0</v>
      </c>
      <c r="FS100" s="107">
        <v>0</v>
      </c>
      <c r="FT100" s="107">
        <f t="shared" si="146"/>
        <v>15</v>
      </c>
      <c r="FU100" s="107">
        <v>0</v>
      </c>
      <c r="FV100" s="107">
        <v>0</v>
      </c>
      <c r="FW100" s="107">
        <v>0</v>
      </c>
      <c r="FX100" s="107">
        <v>0</v>
      </c>
      <c r="FY100" s="107">
        <f t="shared" si="144"/>
        <v>0</v>
      </c>
      <c r="FZ100" s="107">
        <f t="shared" si="145"/>
        <v>0</v>
      </c>
      <c r="GA100" s="107">
        <f t="shared" si="149"/>
        <v>22</v>
      </c>
      <c r="GB100" s="107">
        <v>0</v>
      </c>
      <c r="GC100" s="107">
        <v>0</v>
      </c>
      <c r="GD100" s="107">
        <v>0</v>
      </c>
      <c r="GE100" s="107">
        <v>0</v>
      </c>
      <c r="GF100" s="107">
        <f t="shared" si="147"/>
        <v>0</v>
      </c>
      <c r="GG100" s="107">
        <f t="shared" si="148"/>
        <v>0</v>
      </c>
      <c r="GH100" s="107">
        <f t="shared" si="152"/>
        <v>34</v>
      </c>
      <c r="GI100" s="107">
        <v>0</v>
      </c>
      <c r="GJ100" s="107">
        <v>0</v>
      </c>
      <c r="GK100" s="107">
        <v>0</v>
      </c>
      <c r="GL100" s="107">
        <v>0</v>
      </c>
      <c r="GM100" s="107">
        <f t="shared" si="150"/>
        <v>0</v>
      </c>
      <c r="GN100" s="107">
        <f t="shared" si="151"/>
        <v>0</v>
      </c>
      <c r="GO100" s="107">
        <f t="shared" si="160"/>
        <v>51</v>
      </c>
      <c r="GP100" s="107">
        <v>0</v>
      </c>
      <c r="GQ100" s="107">
        <v>0</v>
      </c>
      <c r="GR100" s="107">
        <v>0</v>
      </c>
      <c r="GS100" s="107">
        <v>0</v>
      </c>
      <c r="GT100" s="107">
        <f t="shared" si="153"/>
        <v>540</v>
      </c>
      <c r="GU100" s="107">
        <f t="shared" si="154"/>
        <v>0</v>
      </c>
      <c r="GV100" s="107">
        <f t="shared" si="164"/>
        <v>77</v>
      </c>
      <c r="GW100" s="107">
        <f>IF($H$120="yes",GV100*$FR$95,0)</f>
        <v>0</v>
      </c>
      <c r="GX100" s="107">
        <f>IF($H$120="no",GV100*$FS$95,0)</f>
        <v>7494.666666666666</v>
      </c>
      <c r="GY100" s="107">
        <v>0</v>
      </c>
      <c r="GZ100" s="107">
        <v>0</v>
      </c>
      <c r="HA100" s="107">
        <f t="shared" si="161"/>
        <v>540</v>
      </c>
      <c r="HB100" s="107">
        <f t="shared" si="162"/>
        <v>0</v>
      </c>
      <c r="HC100" s="107">
        <f t="shared" si="168"/>
        <v>117</v>
      </c>
      <c r="HD100" s="107">
        <f>IF($H$120="yes",HC100*$FR$94,0)</f>
        <v>0</v>
      </c>
      <c r="HE100" s="107">
        <f>IF($H$120="no",HC100*$FS$94,0)</f>
        <v>22776</v>
      </c>
      <c r="HF100" s="107">
        <f>IF($H$120="yes",ROUND($I$17*HC100,0)*($FR$95),ROUND($I$17*HC100,0)*($FS$95))</f>
        <v>3796</v>
      </c>
      <c r="HG100" s="107">
        <f>IF($H$120="yes",ROUND($I$20*HC100,0)*($FR$95),ROUND($I$20*HC100,0)*($FS$95))</f>
        <v>97.33333333333333</v>
      </c>
      <c r="HH100" s="107">
        <f t="shared" si="165"/>
        <v>540</v>
      </c>
      <c r="HI100" s="107">
        <f t="shared" si="166"/>
        <v>0</v>
      </c>
      <c r="HJ100" s="107">
        <f t="shared" si="171"/>
        <v>178</v>
      </c>
      <c r="HK100" s="107">
        <f>IF($H$120="yes",HJ100*$FR$93,0)</f>
        <v>0</v>
      </c>
      <c r="HL100" s="107">
        <f>IF($H$120="no",HJ100*$FS$93,0)</f>
        <v>51976</v>
      </c>
      <c r="HM100" s="107">
        <f>IF($H$120="yes",ROUND($I$17*HJ100,0)*($FR$94+$FR$95),ROUND($I$17*HJ100,0)*($FS$94+$FS$95))</f>
        <v>17228</v>
      </c>
      <c r="HN100" s="107">
        <f>IF($H$120="yes",ROUND($I$20*HJ100,0)*($FR$94+$FR$95),ROUND($I$20*HJ100,0)*($FS$94+$FS$95))</f>
        <v>584</v>
      </c>
      <c r="HO100" s="107">
        <f t="shared" si="169"/>
        <v>1080</v>
      </c>
      <c r="HP100" s="107">
        <f t="shared" si="170"/>
        <v>0</v>
      </c>
      <c r="HQ100" s="107">
        <f aca="true" t="shared" si="174" ref="HQ100:HQ108">ROUND(HQ99-($I$17+$I$20)*HQ99,0)</f>
        <v>269</v>
      </c>
      <c r="HR100" s="107">
        <f>IF($H$120="yes",HQ100*$FR$92,0)</f>
        <v>0</v>
      </c>
      <c r="HS100" s="107">
        <f>IF($H$120="no",HQ100*$FS$92,0)</f>
        <v>104730.66666666666</v>
      </c>
      <c r="HT100" s="107">
        <f>IF($H$120="yes",ROUND($I$17*HQ100,0)*($FR$93+$FR$94+$FR$95),ROUND($I$17*HQ100,0)*($FS$93+$FS$94+$FS$95))</f>
        <v>51976</v>
      </c>
      <c r="HU100" s="107">
        <f>IF($H$120="yes",ROUND($I$20*HQ100,0)*($FR$93+$FR$94+$FR$95),ROUND($I$20*HQ100,0)*($FS$93+$FS$94+$FS$95))</f>
        <v>1752</v>
      </c>
      <c r="HV100" s="107">
        <f t="shared" si="172"/>
        <v>1620</v>
      </c>
      <c r="HW100" s="107">
        <f t="shared" si="173"/>
        <v>0</v>
      </c>
      <c r="HX100" s="107">
        <f>ROUND($I$7*($I$17+$I$20),0)</f>
        <v>408</v>
      </c>
      <c r="HY100" s="107">
        <f>IF($H$120="yes",HX100*$FR$91,0)</f>
        <v>0</v>
      </c>
      <c r="HZ100" s="107">
        <f>IF($H$120="no",HX100*$FS$91,0)</f>
        <v>198560</v>
      </c>
      <c r="IA100" s="107">
        <f>IF($H$120="yes",ROUND($I$17*HX100,0)*($FR$92+$FR$93+$FR$94+$FR$95),ROUND($I$17*HX100,0)*($FS$92+$FS$93+$FS$94+$FS$95))</f>
        <v>131400</v>
      </c>
      <c r="IB100" s="107">
        <f>IF($H$120="yes",ROUND($I$20*HX100,0)*($FR$92+$FR$93+$FR$94+$FR$95),ROUND($I$20*HX100,0)*($FS$92+$FS$93+$FS$94+$FS$95))</f>
        <v>3893.333333333333</v>
      </c>
      <c r="IC100" s="107">
        <f aca="true" t="shared" si="175" ref="IC100:IC109">IF($H$117="no",ROUND($I$20*HX100,0)*($I$18*$I$19),0)</f>
        <v>2160</v>
      </c>
      <c r="ID100" s="107">
        <f aca="true" t="shared" si="176" ref="ID100:ID109">IF($H$117="yes",ROUND(HX100*$I$17,0)*$I$18*$I$19,0)</f>
        <v>0</v>
      </c>
      <c r="IE100" s="107">
        <v>0</v>
      </c>
      <c r="IF100" s="107">
        <v>0</v>
      </c>
      <c r="IG100" s="107">
        <v>0</v>
      </c>
      <c r="IH100" s="107">
        <v>0</v>
      </c>
      <c r="II100" s="107">
        <v>0</v>
      </c>
      <c r="IJ100" s="107">
        <v>0</v>
      </c>
      <c r="IK100" s="107">
        <v>0</v>
      </c>
      <c r="IL100" s="107">
        <f t="shared" si="140"/>
        <v>385537.3333333333</v>
      </c>
      <c r="IM100" s="107">
        <f t="shared" si="141"/>
        <v>210726.66666666666</v>
      </c>
      <c r="IN100" s="107">
        <f t="shared" si="142"/>
        <v>6480</v>
      </c>
      <c r="IO100" s="27">
        <f t="shared" si="142"/>
        <v>0</v>
      </c>
    </row>
    <row r="101" spans="1:249" ht="16.5" thickTop="1">
      <c r="A101" s="6"/>
      <c r="B101" s="419"/>
      <c r="C101" s="423"/>
      <c r="D101" s="373"/>
      <c r="E101" s="366" t="s">
        <v>19</v>
      </c>
      <c r="G101" s="394" t="s">
        <v>441</v>
      </c>
      <c r="H101" s="524">
        <v>10</v>
      </c>
      <c r="I101" s="501">
        <v>0.09</v>
      </c>
      <c r="J101" s="203"/>
      <c r="K101" s="326" t="s">
        <v>442</v>
      </c>
      <c r="L101" s="107">
        <f t="shared" si="163"/>
        <v>51</v>
      </c>
      <c r="M101" s="328">
        <f t="shared" si="155"/>
        <v>50</v>
      </c>
      <c r="N101" s="107">
        <f t="shared" si="156"/>
        <v>1</v>
      </c>
      <c r="O101" s="107">
        <f t="shared" si="167"/>
        <v>27000</v>
      </c>
      <c r="P101" s="107">
        <f t="shared" si="167"/>
        <v>540</v>
      </c>
      <c r="Q101" s="107">
        <f t="shared" si="157"/>
        <v>60000</v>
      </c>
      <c r="R101" s="96"/>
      <c r="S101" s="96">
        <f t="shared" si="158"/>
        <v>33000</v>
      </c>
      <c r="T101" s="107">
        <f t="shared" si="159"/>
        <v>-540</v>
      </c>
      <c r="FH101" s="62">
        <v>11</v>
      </c>
      <c r="FI101" s="107">
        <v>0</v>
      </c>
      <c r="FJ101" s="107">
        <v>0</v>
      </c>
      <c r="FK101" s="107">
        <v>0</v>
      </c>
      <c r="FL101" s="107">
        <v>0</v>
      </c>
      <c r="FM101" s="107">
        <v>0</v>
      </c>
      <c r="FN101" s="107">
        <v>0</v>
      </c>
      <c r="FO101" s="107">
        <v>0</v>
      </c>
      <c r="FP101" s="107">
        <v>0</v>
      </c>
      <c r="FQ101" s="107">
        <v>0</v>
      </c>
      <c r="FR101" s="107">
        <v>0</v>
      </c>
      <c r="FS101" s="107">
        <v>0</v>
      </c>
      <c r="FT101" s="107">
        <f t="shared" si="146"/>
        <v>10</v>
      </c>
      <c r="FU101" s="107">
        <v>0</v>
      </c>
      <c r="FV101" s="107">
        <v>0</v>
      </c>
      <c r="FW101" s="107">
        <v>0</v>
      </c>
      <c r="FX101" s="107">
        <v>0</v>
      </c>
      <c r="FY101" s="107">
        <f t="shared" si="144"/>
        <v>0</v>
      </c>
      <c r="FZ101" s="107">
        <f t="shared" si="145"/>
        <v>0</v>
      </c>
      <c r="GA101" s="107">
        <f t="shared" si="149"/>
        <v>15</v>
      </c>
      <c r="GB101" s="107">
        <v>0</v>
      </c>
      <c r="GC101" s="107">
        <v>0</v>
      </c>
      <c r="GD101" s="107">
        <v>0</v>
      </c>
      <c r="GE101" s="107">
        <v>0</v>
      </c>
      <c r="GF101" s="107">
        <f t="shared" si="147"/>
        <v>0</v>
      </c>
      <c r="GG101" s="107">
        <f t="shared" si="148"/>
        <v>0</v>
      </c>
      <c r="GH101" s="107">
        <f t="shared" si="152"/>
        <v>22</v>
      </c>
      <c r="GI101" s="107">
        <v>0</v>
      </c>
      <c r="GJ101" s="107">
        <v>0</v>
      </c>
      <c r="GK101" s="107">
        <v>0</v>
      </c>
      <c r="GL101" s="107">
        <v>0</v>
      </c>
      <c r="GM101" s="107">
        <f t="shared" si="150"/>
        <v>0</v>
      </c>
      <c r="GN101" s="107">
        <f t="shared" si="151"/>
        <v>0</v>
      </c>
      <c r="GO101" s="107">
        <f t="shared" si="160"/>
        <v>34</v>
      </c>
      <c r="GP101" s="107">
        <v>0</v>
      </c>
      <c r="GQ101" s="107">
        <v>0</v>
      </c>
      <c r="GR101" s="107">
        <v>0</v>
      </c>
      <c r="GS101" s="107">
        <v>0</v>
      </c>
      <c r="GT101" s="107">
        <f t="shared" si="153"/>
        <v>0</v>
      </c>
      <c r="GU101" s="107">
        <f t="shared" si="154"/>
        <v>0</v>
      </c>
      <c r="GV101" s="107">
        <f t="shared" si="164"/>
        <v>51</v>
      </c>
      <c r="GW101" s="107">
        <v>0</v>
      </c>
      <c r="GX101" s="107">
        <v>0</v>
      </c>
      <c r="GY101" s="107">
        <v>0</v>
      </c>
      <c r="GZ101" s="107">
        <v>0</v>
      </c>
      <c r="HA101" s="107">
        <f t="shared" si="161"/>
        <v>540</v>
      </c>
      <c r="HB101" s="107">
        <f t="shared" si="162"/>
        <v>0</v>
      </c>
      <c r="HC101" s="107">
        <f t="shared" si="168"/>
        <v>77</v>
      </c>
      <c r="HD101" s="107">
        <f>IF($H$120="yes",HC101*$FR$95,0)</f>
        <v>0</v>
      </c>
      <c r="HE101" s="107">
        <f>IF($H$120="no",HC101*$FS$95,0)</f>
        <v>7494.666666666666</v>
      </c>
      <c r="HF101" s="107">
        <v>0</v>
      </c>
      <c r="HG101" s="107">
        <v>0</v>
      </c>
      <c r="HH101" s="107">
        <f t="shared" si="165"/>
        <v>540</v>
      </c>
      <c r="HI101" s="107">
        <f t="shared" si="166"/>
        <v>0</v>
      </c>
      <c r="HJ101" s="107">
        <f t="shared" si="171"/>
        <v>117</v>
      </c>
      <c r="HK101" s="107">
        <f>IF($H$120="yes",HJ101*$FR$94,0)</f>
        <v>0</v>
      </c>
      <c r="HL101" s="107">
        <f>IF($H$120="no",HJ101*$FS$94,0)</f>
        <v>22776</v>
      </c>
      <c r="HM101" s="107">
        <f>IF($H$120="yes",ROUND($I$17*HJ101,0)*($FR$95),ROUND($I$17*HJ101,0)*($FS$95))</f>
        <v>3796</v>
      </c>
      <c r="HN101" s="107">
        <f>IF($H$120="yes",ROUND($I$20*HJ101,0)*($FR$95),ROUND($I$20*HJ101,0)*($FS$95))</f>
        <v>97.33333333333333</v>
      </c>
      <c r="HO101" s="107">
        <f t="shared" si="169"/>
        <v>540</v>
      </c>
      <c r="HP101" s="107">
        <f t="shared" si="170"/>
        <v>0</v>
      </c>
      <c r="HQ101" s="107">
        <f t="shared" si="174"/>
        <v>178</v>
      </c>
      <c r="HR101" s="107">
        <f>IF($H$120="yes",HQ101*$FR$93,0)</f>
        <v>0</v>
      </c>
      <c r="HS101" s="107">
        <f>IF($H$120="no",HQ101*$FS$93,0)</f>
        <v>51976</v>
      </c>
      <c r="HT101" s="107">
        <f>IF($H$120="yes",ROUND($I$17*HQ101,0)*($FR$94+$FR$95),ROUND($I$17*HQ101,0)*($FS$94+$FS$95))</f>
        <v>17228</v>
      </c>
      <c r="HU101" s="107">
        <f>IF($H$120="yes",ROUND($I$20*HQ101,0)*($FR$94+$FR$95),ROUND($I$20*HQ101,0)*($FS$94+$FS$95))</f>
        <v>584</v>
      </c>
      <c r="HV101" s="107">
        <f t="shared" si="172"/>
        <v>1080</v>
      </c>
      <c r="HW101" s="107">
        <f t="shared" si="173"/>
        <v>0</v>
      </c>
      <c r="HX101" s="107">
        <f aca="true" t="shared" si="177" ref="HX101:HX109">ROUND(HX100-($I$17+$I$20)*HX100,0)</f>
        <v>269</v>
      </c>
      <c r="HY101" s="107">
        <f>IF($H$120="yes",HX101*$FR$92,0)</f>
        <v>0</v>
      </c>
      <c r="HZ101" s="107">
        <f>IF($H$120="no",HX101*$FS$92,0)</f>
        <v>104730.66666666666</v>
      </c>
      <c r="IA101" s="107">
        <f>IF($H$120="yes",ROUND($I$17*HX101,0)*($FR$93+$FR$94+$FR$95),ROUND($I$17*HX101,0)*($FS$93+$FS$94+$FS$95))</f>
        <v>51976</v>
      </c>
      <c r="IB101" s="107">
        <f>IF($H$120="yes",ROUND($I$20*HX101,0)*($FR$93+$FR$94+$FR$95),ROUND($I$20*HX101,0)*($FS$93+$FS$94+$FS$95))</f>
        <v>1752</v>
      </c>
      <c r="IC101" s="107">
        <f t="shared" si="175"/>
        <v>1620</v>
      </c>
      <c r="ID101" s="107">
        <f t="shared" si="176"/>
        <v>0</v>
      </c>
      <c r="IE101" s="107">
        <f>ROUND($I$7*($I$17+$I$20),0)</f>
        <v>408</v>
      </c>
      <c r="IF101" s="107">
        <f>IF($H$120="yes",IE101*$FR$91,0)</f>
        <v>0</v>
      </c>
      <c r="IG101" s="107">
        <f>IF($H$120="no",IE101*$FS$91,0)</f>
        <v>198560</v>
      </c>
      <c r="IH101" s="107">
        <f>IF($H$120="yes",ROUND($I$17*IE101,0)*($FR$92+$FR$93+$FR$94+$FR$95),ROUND($I$17*IE101,0)*($FS$92+$FS$93+$FS$94+$FS$95))</f>
        <v>131400</v>
      </c>
      <c r="II101" s="107">
        <f>IF($H$120="yes",ROUND($I$20*IE101,0)*($FR$92+$FR$93+$FR$94+$FR$95),ROUND($I$20*IE101,0)*($FS$92+$FS$93+$FS$94+$FS$95))</f>
        <v>3893.333333333333</v>
      </c>
      <c r="IJ101" s="107">
        <f aca="true" t="shared" si="178" ref="IJ101:IJ110">IF($H$117="no",ROUND($I$20*IE101,0)*($I$18*$I$19),0)</f>
        <v>2160</v>
      </c>
      <c r="IK101" s="107">
        <f aca="true" t="shared" si="179" ref="IK101:IK110">IF($H$117="yes",ROUND(IE101*$I$17,0)*$I$18*$I$19,0)</f>
        <v>0</v>
      </c>
      <c r="IL101" s="107">
        <f t="shared" si="140"/>
        <v>385537.3333333333</v>
      </c>
      <c r="IM101" s="107">
        <f t="shared" si="141"/>
        <v>210726.66666666666</v>
      </c>
      <c r="IN101" s="107">
        <f t="shared" si="142"/>
        <v>6480</v>
      </c>
      <c r="IO101" s="27">
        <f t="shared" si="142"/>
        <v>0</v>
      </c>
    </row>
    <row r="102" spans="1:249" ht="15.75">
      <c r="A102" s="9"/>
      <c r="B102" s="420"/>
      <c r="C102" s="424"/>
      <c r="D102" s="333" t="s">
        <v>51</v>
      </c>
      <c r="E102" s="132" t="s">
        <v>52</v>
      </c>
      <c r="G102" s="394" t="s">
        <v>443</v>
      </c>
      <c r="H102" s="524">
        <v>10</v>
      </c>
      <c r="I102" s="501">
        <v>0.09</v>
      </c>
      <c r="J102" s="203"/>
      <c r="K102" s="326" t="s">
        <v>444</v>
      </c>
      <c r="L102" s="107">
        <f t="shared" si="163"/>
        <v>34</v>
      </c>
      <c r="M102" s="328">
        <f t="shared" si="155"/>
        <v>34</v>
      </c>
      <c r="N102" s="107">
        <f t="shared" si="156"/>
        <v>0</v>
      </c>
      <c r="O102" s="107">
        <f t="shared" si="167"/>
        <v>18360</v>
      </c>
      <c r="P102" s="107">
        <f t="shared" si="167"/>
        <v>0</v>
      </c>
      <c r="Q102" s="107">
        <f t="shared" si="157"/>
        <v>40800</v>
      </c>
      <c r="R102" s="96"/>
      <c r="S102" s="96">
        <f t="shared" si="158"/>
        <v>22440</v>
      </c>
      <c r="T102" s="107">
        <f t="shared" si="159"/>
        <v>0</v>
      </c>
      <c r="FH102" s="62">
        <v>12</v>
      </c>
      <c r="FI102" s="107">
        <v>0</v>
      </c>
      <c r="FJ102" s="107">
        <v>0</v>
      </c>
      <c r="FK102" s="107">
        <v>0</v>
      </c>
      <c r="FL102" s="107">
        <v>0</v>
      </c>
      <c r="FM102" s="107">
        <v>0</v>
      </c>
      <c r="FN102" s="107">
        <v>0</v>
      </c>
      <c r="FO102" s="107">
        <v>0</v>
      </c>
      <c r="FP102" s="107">
        <v>0</v>
      </c>
      <c r="FQ102" s="107">
        <v>0</v>
      </c>
      <c r="FR102" s="107">
        <v>0</v>
      </c>
      <c r="FS102" s="107">
        <v>0</v>
      </c>
      <c r="FT102" s="107">
        <v>0</v>
      </c>
      <c r="FU102" s="107">
        <v>0</v>
      </c>
      <c r="FV102" s="107">
        <v>0</v>
      </c>
      <c r="FW102" s="107">
        <v>0</v>
      </c>
      <c r="FX102" s="107">
        <v>0</v>
      </c>
      <c r="FY102" s="107">
        <v>0</v>
      </c>
      <c r="FZ102" s="107">
        <v>0</v>
      </c>
      <c r="GA102" s="107">
        <f t="shared" si="149"/>
        <v>10</v>
      </c>
      <c r="GB102" s="107">
        <v>0</v>
      </c>
      <c r="GC102" s="107">
        <v>0</v>
      </c>
      <c r="GD102" s="107">
        <v>0</v>
      </c>
      <c r="GE102" s="107">
        <v>0</v>
      </c>
      <c r="GF102" s="107">
        <f t="shared" si="147"/>
        <v>0</v>
      </c>
      <c r="GG102" s="107">
        <f t="shared" si="148"/>
        <v>0</v>
      </c>
      <c r="GH102" s="107">
        <f t="shared" si="152"/>
        <v>15</v>
      </c>
      <c r="GI102" s="107">
        <v>0</v>
      </c>
      <c r="GJ102" s="107">
        <v>0</v>
      </c>
      <c r="GK102" s="107">
        <v>0</v>
      </c>
      <c r="GL102" s="107">
        <v>0</v>
      </c>
      <c r="GM102" s="107">
        <f t="shared" si="150"/>
        <v>0</v>
      </c>
      <c r="GN102" s="107">
        <f t="shared" si="151"/>
        <v>0</v>
      </c>
      <c r="GO102" s="107">
        <f t="shared" si="160"/>
        <v>22</v>
      </c>
      <c r="GP102" s="107">
        <v>0</v>
      </c>
      <c r="GQ102" s="107">
        <v>0</v>
      </c>
      <c r="GR102" s="107">
        <v>0</v>
      </c>
      <c r="GS102" s="107">
        <v>0</v>
      </c>
      <c r="GT102" s="107">
        <f t="shared" si="153"/>
        <v>0</v>
      </c>
      <c r="GU102" s="107">
        <f t="shared" si="154"/>
        <v>0</v>
      </c>
      <c r="GV102" s="107">
        <f t="shared" si="164"/>
        <v>34</v>
      </c>
      <c r="GW102" s="107">
        <v>0</v>
      </c>
      <c r="GX102" s="107">
        <v>0</v>
      </c>
      <c r="GY102" s="107">
        <v>0</v>
      </c>
      <c r="GZ102" s="107">
        <v>0</v>
      </c>
      <c r="HA102" s="107">
        <f t="shared" si="161"/>
        <v>0</v>
      </c>
      <c r="HB102" s="107">
        <f t="shared" si="162"/>
        <v>0</v>
      </c>
      <c r="HC102" s="107">
        <f t="shared" si="168"/>
        <v>51</v>
      </c>
      <c r="HD102" s="107">
        <v>0</v>
      </c>
      <c r="HE102" s="107">
        <v>0</v>
      </c>
      <c r="HF102" s="107">
        <v>0</v>
      </c>
      <c r="HG102" s="107">
        <v>0</v>
      </c>
      <c r="HH102" s="107">
        <f t="shared" si="165"/>
        <v>540</v>
      </c>
      <c r="HI102" s="107">
        <f t="shared" si="166"/>
        <v>0</v>
      </c>
      <c r="HJ102" s="107">
        <f t="shared" si="171"/>
        <v>77</v>
      </c>
      <c r="HK102" s="107">
        <f>IF($H$120="yes",HJ102*$FR$95,0)</f>
        <v>0</v>
      </c>
      <c r="HL102" s="107">
        <f>IF($H$120="no",HJ102*$FS$95,0)</f>
        <v>7494.666666666666</v>
      </c>
      <c r="HM102" s="107">
        <v>0</v>
      </c>
      <c r="HN102" s="107">
        <v>0</v>
      </c>
      <c r="HO102" s="107">
        <f t="shared" si="169"/>
        <v>540</v>
      </c>
      <c r="HP102" s="107">
        <f t="shared" si="170"/>
        <v>0</v>
      </c>
      <c r="HQ102" s="107">
        <f t="shared" si="174"/>
        <v>117</v>
      </c>
      <c r="HR102" s="107">
        <f>IF($H$120="yes",HQ102*$FR$94,0)</f>
        <v>0</v>
      </c>
      <c r="HS102" s="107">
        <f>IF($H$120="no",HQ102*$FS$94,0)</f>
        <v>22776</v>
      </c>
      <c r="HT102" s="107">
        <f>IF($H$120="yes",ROUND($I$17*HQ102,0)*($FR$95),ROUND($I$17*HQ102,0)*($FS$95))</f>
        <v>3796</v>
      </c>
      <c r="HU102" s="107">
        <f>IF($H$120="yes",ROUND($I$20*HQ102,0)*($FR$95),ROUND($I$20*HQ102,0)*($FS$95))</f>
        <v>97.33333333333333</v>
      </c>
      <c r="HV102" s="107">
        <f t="shared" si="172"/>
        <v>540</v>
      </c>
      <c r="HW102" s="107">
        <f t="shared" si="173"/>
        <v>0</v>
      </c>
      <c r="HX102" s="107">
        <f t="shared" si="177"/>
        <v>178</v>
      </c>
      <c r="HY102" s="107">
        <f>IF($H$120="yes",HX102*$FR$93,0)</f>
        <v>0</v>
      </c>
      <c r="HZ102" s="107">
        <f>IF($H$120="no",HX102*$FS$93,0)</f>
        <v>51976</v>
      </c>
      <c r="IA102" s="107">
        <f>IF($H$120="yes",ROUND($I$17*HX102,0)*($FR$94+$FR$95),ROUND($I$17*HX102,0)*($FS$94+$FS$95))</f>
        <v>17228</v>
      </c>
      <c r="IB102" s="107">
        <f>IF($H$120="yes",ROUND($I$20*HX102,0)*($FR$94+$FR$95),ROUND($I$20*HX102,0)*($FS$94+$FS$95))</f>
        <v>584</v>
      </c>
      <c r="IC102" s="107">
        <f t="shared" si="175"/>
        <v>1080</v>
      </c>
      <c r="ID102" s="107">
        <f t="shared" si="176"/>
        <v>0</v>
      </c>
      <c r="IE102" s="107">
        <f aca="true" t="shared" si="180" ref="IE102:IE110">ROUND(IE101-($I$17+$I$20)*IE101,0)</f>
        <v>269</v>
      </c>
      <c r="IF102" s="107">
        <f>IF($H$120="yes",IE102*$FR$92,0)</f>
        <v>0</v>
      </c>
      <c r="IG102" s="107">
        <f>IF($H$120="no",IE102*$FS$92,0)</f>
        <v>104730.66666666666</v>
      </c>
      <c r="IH102" s="107">
        <f>IF($H$120="yes",ROUND($I$17*IE102,0)*($FR$93+$FR$94+$FR$95),ROUND($I$17*IE102,0)*($FS$93+$FS$94+$FS$95))</f>
        <v>51976</v>
      </c>
      <c r="II102" s="107">
        <f>IF($H$120="yes",ROUND($I$20*IE102,0)*($FR$93+$FR$94+$FR$95),ROUND($I$20*IE102,0)*($FS$93+$FS$94+$FS$95))</f>
        <v>1752</v>
      </c>
      <c r="IJ102" s="107">
        <f t="shared" si="178"/>
        <v>1620</v>
      </c>
      <c r="IK102" s="107">
        <f t="shared" si="179"/>
        <v>0</v>
      </c>
      <c r="IL102" s="107">
        <f t="shared" si="140"/>
        <v>186977.3333333333</v>
      </c>
      <c r="IM102" s="107">
        <f t="shared" si="141"/>
        <v>75433.33333333333</v>
      </c>
      <c r="IN102" s="107">
        <f t="shared" si="142"/>
        <v>4320</v>
      </c>
      <c r="IO102" s="27">
        <f t="shared" si="142"/>
        <v>0</v>
      </c>
    </row>
    <row r="103" spans="1:249" ht="16.5" thickBot="1">
      <c r="A103" s="11" t="s">
        <v>63</v>
      </c>
      <c r="B103" s="421" t="s">
        <v>64</v>
      </c>
      <c r="C103" s="421" t="s">
        <v>65</v>
      </c>
      <c r="D103" s="374" t="s">
        <v>66</v>
      </c>
      <c r="E103" s="295" t="s">
        <v>66</v>
      </c>
      <c r="G103" s="399" t="s">
        <v>445</v>
      </c>
      <c r="H103" s="525">
        <v>5</v>
      </c>
      <c r="I103" s="518">
        <v>0.09</v>
      </c>
      <c r="J103" s="203"/>
      <c r="K103" s="326" t="s">
        <v>446</v>
      </c>
      <c r="L103" s="107">
        <f t="shared" si="163"/>
        <v>22</v>
      </c>
      <c r="M103" s="328">
        <f t="shared" si="155"/>
        <v>22</v>
      </c>
      <c r="N103" s="107">
        <f t="shared" si="156"/>
        <v>0</v>
      </c>
      <c r="O103" s="107">
        <f t="shared" si="167"/>
        <v>11880</v>
      </c>
      <c r="P103" s="107">
        <f t="shared" si="167"/>
        <v>0</v>
      </c>
      <c r="Q103" s="107">
        <f t="shared" si="157"/>
        <v>26400</v>
      </c>
      <c r="R103" s="96"/>
      <c r="S103" s="96">
        <f t="shared" si="158"/>
        <v>14520</v>
      </c>
      <c r="T103" s="107">
        <f t="shared" si="159"/>
        <v>0</v>
      </c>
      <c r="FH103" s="62">
        <v>13</v>
      </c>
      <c r="FI103" s="107">
        <v>0</v>
      </c>
      <c r="FJ103" s="107">
        <v>0</v>
      </c>
      <c r="FK103" s="107">
        <v>0</v>
      </c>
      <c r="FL103" s="107">
        <v>0</v>
      </c>
      <c r="FM103" s="107">
        <v>0</v>
      </c>
      <c r="FN103" s="107">
        <v>0</v>
      </c>
      <c r="FO103" s="107">
        <v>0</v>
      </c>
      <c r="FP103" s="107">
        <v>0</v>
      </c>
      <c r="FQ103" s="107">
        <v>0</v>
      </c>
      <c r="FR103" s="107">
        <v>0</v>
      </c>
      <c r="FS103" s="107">
        <v>0</v>
      </c>
      <c r="FT103" s="107">
        <v>0</v>
      </c>
      <c r="FU103" s="107">
        <v>0</v>
      </c>
      <c r="FV103" s="107">
        <v>0</v>
      </c>
      <c r="FW103" s="107">
        <v>0</v>
      </c>
      <c r="FX103" s="107">
        <v>0</v>
      </c>
      <c r="FY103" s="107">
        <v>0</v>
      </c>
      <c r="FZ103" s="107">
        <v>0</v>
      </c>
      <c r="GA103" s="107">
        <v>0</v>
      </c>
      <c r="GB103" s="107">
        <v>0</v>
      </c>
      <c r="GC103" s="107">
        <v>0</v>
      </c>
      <c r="GD103" s="107">
        <v>0</v>
      </c>
      <c r="GE103" s="107">
        <v>0</v>
      </c>
      <c r="GF103" s="107">
        <v>0</v>
      </c>
      <c r="GG103" s="107">
        <v>0</v>
      </c>
      <c r="GH103" s="107">
        <f t="shared" si="152"/>
        <v>10</v>
      </c>
      <c r="GI103" s="107">
        <v>0</v>
      </c>
      <c r="GJ103" s="107">
        <v>0</v>
      </c>
      <c r="GK103" s="107">
        <v>0</v>
      </c>
      <c r="GL103" s="107">
        <v>0</v>
      </c>
      <c r="GM103" s="107">
        <f t="shared" si="150"/>
        <v>0</v>
      </c>
      <c r="GN103" s="107">
        <f t="shared" si="151"/>
        <v>0</v>
      </c>
      <c r="GO103" s="107">
        <f t="shared" si="160"/>
        <v>15</v>
      </c>
      <c r="GP103" s="107">
        <v>0</v>
      </c>
      <c r="GQ103" s="107">
        <v>0</v>
      </c>
      <c r="GR103" s="107">
        <v>0</v>
      </c>
      <c r="GS103" s="107">
        <v>0</v>
      </c>
      <c r="GT103" s="107">
        <f t="shared" si="153"/>
        <v>0</v>
      </c>
      <c r="GU103" s="107">
        <f t="shared" si="154"/>
        <v>0</v>
      </c>
      <c r="GV103" s="107">
        <f t="shared" si="164"/>
        <v>22</v>
      </c>
      <c r="GW103" s="107">
        <v>0</v>
      </c>
      <c r="GX103" s="107">
        <v>0</v>
      </c>
      <c r="GY103" s="107">
        <v>0</v>
      </c>
      <c r="GZ103" s="107">
        <v>0</v>
      </c>
      <c r="HA103" s="107">
        <f t="shared" si="161"/>
        <v>0</v>
      </c>
      <c r="HB103" s="107">
        <f t="shared" si="162"/>
        <v>0</v>
      </c>
      <c r="HC103" s="107">
        <f t="shared" si="168"/>
        <v>34</v>
      </c>
      <c r="HD103" s="107">
        <v>0</v>
      </c>
      <c r="HE103" s="107">
        <v>0</v>
      </c>
      <c r="HF103" s="107">
        <v>0</v>
      </c>
      <c r="HG103" s="107">
        <v>0</v>
      </c>
      <c r="HH103" s="107">
        <f t="shared" si="165"/>
        <v>0</v>
      </c>
      <c r="HI103" s="107">
        <f t="shared" si="166"/>
        <v>0</v>
      </c>
      <c r="HJ103" s="107">
        <f t="shared" si="171"/>
        <v>51</v>
      </c>
      <c r="HK103" s="107">
        <v>0</v>
      </c>
      <c r="HL103" s="107">
        <v>0</v>
      </c>
      <c r="HM103" s="107">
        <v>0</v>
      </c>
      <c r="HN103" s="107">
        <v>0</v>
      </c>
      <c r="HO103" s="107">
        <f t="shared" si="169"/>
        <v>540</v>
      </c>
      <c r="HP103" s="107">
        <f t="shared" si="170"/>
        <v>0</v>
      </c>
      <c r="HQ103" s="107">
        <f t="shared" si="174"/>
        <v>77</v>
      </c>
      <c r="HR103" s="107">
        <f>IF($H$120="yes",HQ103*$FR$95,0)</f>
        <v>0</v>
      </c>
      <c r="HS103" s="107">
        <f>IF($H$120="no",HQ103*$FS$95,0)</f>
        <v>7494.666666666666</v>
      </c>
      <c r="HT103" s="107">
        <v>0</v>
      </c>
      <c r="HU103" s="107">
        <v>0</v>
      </c>
      <c r="HV103" s="107">
        <f t="shared" si="172"/>
        <v>540</v>
      </c>
      <c r="HW103" s="107">
        <f t="shared" si="173"/>
        <v>0</v>
      </c>
      <c r="HX103" s="107">
        <f t="shared" si="177"/>
        <v>117</v>
      </c>
      <c r="HY103" s="107">
        <f>IF($H$120="yes",HX103*$FR$94,0)</f>
        <v>0</v>
      </c>
      <c r="HZ103" s="107">
        <f>IF($H$120="no",HX103*$FS$94,0)</f>
        <v>22776</v>
      </c>
      <c r="IA103" s="107">
        <f>IF($H$120="yes",ROUND($I$17*HX103,0)*($FR$95),ROUND($I$17*HX103,0)*($FS$95))</f>
        <v>3796</v>
      </c>
      <c r="IB103" s="107">
        <f>IF($H$120="yes",ROUND($I$20*HX103,0)*($FR$95),ROUND($I$20*HX103,0)*($FS$95))</f>
        <v>97.33333333333333</v>
      </c>
      <c r="IC103" s="107">
        <f t="shared" si="175"/>
        <v>540</v>
      </c>
      <c r="ID103" s="107">
        <f t="shared" si="176"/>
        <v>0</v>
      </c>
      <c r="IE103" s="107">
        <f t="shared" si="180"/>
        <v>178</v>
      </c>
      <c r="IF103" s="107">
        <f>IF($H$120="yes",IE103*$FR$93,0)</f>
        <v>0</v>
      </c>
      <c r="IG103" s="107">
        <f>IF($H$120="no",IE103*$FS$93,0)</f>
        <v>51976</v>
      </c>
      <c r="IH103" s="107">
        <f>IF($H$120="yes",ROUND($I$17*IE103,0)*($FR$94+$FR$95),ROUND($I$17*IE103,0)*($FS$94+$FS$95))</f>
        <v>17228</v>
      </c>
      <c r="II103" s="107">
        <f>IF($H$120="yes",ROUND($I$20*IE103,0)*($FR$94+$FR$95),ROUND($I$20*IE103,0)*($FS$94+$FS$95))</f>
        <v>584</v>
      </c>
      <c r="IJ103" s="107">
        <f t="shared" si="178"/>
        <v>1080</v>
      </c>
      <c r="IK103" s="107">
        <f t="shared" si="179"/>
        <v>0</v>
      </c>
      <c r="IL103" s="107">
        <f t="shared" si="140"/>
        <v>82246.66666666666</v>
      </c>
      <c r="IM103" s="107">
        <f t="shared" si="141"/>
        <v>21705.333333333332</v>
      </c>
      <c r="IN103" s="107">
        <f t="shared" si="142"/>
        <v>2700</v>
      </c>
      <c r="IO103" s="27">
        <f t="shared" si="142"/>
        <v>0</v>
      </c>
    </row>
    <row r="104" spans="1:249" ht="17.25" thickBot="1" thickTop="1">
      <c r="A104" s="479">
        <v>10000</v>
      </c>
      <c r="B104" s="416" t="s">
        <v>447</v>
      </c>
      <c r="C104" s="413" t="s">
        <v>361</v>
      </c>
      <c r="D104" s="478">
        <v>2</v>
      </c>
      <c r="E104" s="367">
        <f>D104*A104</f>
        <v>20000</v>
      </c>
      <c r="G104" s="148" t="s">
        <v>303</v>
      </c>
      <c r="H104" s="201"/>
      <c r="I104" s="228"/>
      <c r="J104" s="203"/>
      <c r="K104" s="326" t="s">
        <v>448</v>
      </c>
      <c r="L104" s="107">
        <f t="shared" si="163"/>
        <v>15</v>
      </c>
      <c r="M104" s="328">
        <f t="shared" si="155"/>
        <v>15</v>
      </c>
      <c r="N104" s="107">
        <f t="shared" si="156"/>
        <v>0</v>
      </c>
      <c r="O104" s="107">
        <f t="shared" si="167"/>
        <v>8100</v>
      </c>
      <c r="P104" s="107">
        <f t="shared" si="167"/>
        <v>0</v>
      </c>
      <c r="Q104" s="107">
        <f t="shared" si="157"/>
        <v>18000</v>
      </c>
      <c r="R104" s="96"/>
      <c r="S104" s="96">
        <f t="shared" si="158"/>
        <v>9900</v>
      </c>
      <c r="T104" s="107">
        <f t="shared" si="159"/>
        <v>0</v>
      </c>
      <c r="FH104" s="62">
        <v>14</v>
      </c>
      <c r="FI104" s="107">
        <v>0</v>
      </c>
      <c r="FJ104" s="107">
        <v>0</v>
      </c>
      <c r="FK104" s="107">
        <v>0</v>
      </c>
      <c r="FL104" s="107">
        <v>0</v>
      </c>
      <c r="FM104" s="107">
        <v>0</v>
      </c>
      <c r="FN104" s="107">
        <v>0</v>
      </c>
      <c r="FO104" s="107">
        <v>0</v>
      </c>
      <c r="FP104" s="107">
        <v>0</v>
      </c>
      <c r="FQ104" s="107">
        <v>0</v>
      </c>
      <c r="FR104" s="107">
        <v>0</v>
      </c>
      <c r="FS104" s="107">
        <v>0</v>
      </c>
      <c r="FT104" s="107">
        <v>0</v>
      </c>
      <c r="FU104" s="107">
        <v>0</v>
      </c>
      <c r="FV104" s="107">
        <v>0</v>
      </c>
      <c r="FW104" s="107">
        <v>0</v>
      </c>
      <c r="FX104" s="107">
        <v>0</v>
      </c>
      <c r="FY104" s="107">
        <v>0</v>
      </c>
      <c r="FZ104" s="107">
        <v>0</v>
      </c>
      <c r="GA104" s="107">
        <v>0</v>
      </c>
      <c r="GB104" s="107">
        <v>0</v>
      </c>
      <c r="GC104" s="107">
        <v>0</v>
      </c>
      <c r="GD104" s="107">
        <v>0</v>
      </c>
      <c r="GE104" s="107">
        <v>0</v>
      </c>
      <c r="GF104" s="107">
        <v>0</v>
      </c>
      <c r="GG104" s="107">
        <v>0</v>
      </c>
      <c r="GH104" s="107">
        <v>0</v>
      </c>
      <c r="GI104" s="107">
        <v>0</v>
      </c>
      <c r="GJ104" s="107">
        <v>0</v>
      </c>
      <c r="GK104" s="107">
        <v>0</v>
      </c>
      <c r="GL104" s="107">
        <v>0</v>
      </c>
      <c r="GM104" s="107">
        <v>0</v>
      </c>
      <c r="GN104" s="107">
        <v>0</v>
      </c>
      <c r="GO104" s="107">
        <f t="shared" si="160"/>
        <v>10</v>
      </c>
      <c r="GP104" s="107">
        <v>0</v>
      </c>
      <c r="GQ104" s="107">
        <v>0</v>
      </c>
      <c r="GR104" s="107">
        <v>0</v>
      </c>
      <c r="GS104" s="107">
        <v>0</v>
      </c>
      <c r="GT104" s="107">
        <f t="shared" si="153"/>
        <v>0</v>
      </c>
      <c r="GU104" s="107">
        <f t="shared" si="154"/>
        <v>0</v>
      </c>
      <c r="GV104" s="107">
        <f t="shared" si="164"/>
        <v>15</v>
      </c>
      <c r="GW104" s="107">
        <v>0</v>
      </c>
      <c r="GX104" s="107">
        <v>0</v>
      </c>
      <c r="GY104" s="107">
        <v>0</v>
      </c>
      <c r="GZ104" s="107">
        <v>0</v>
      </c>
      <c r="HA104" s="107">
        <f t="shared" si="161"/>
        <v>0</v>
      </c>
      <c r="HB104" s="107">
        <f t="shared" si="162"/>
        <v>0</v>
      </c>
      <c r="HC104" s="107">
        <f t="shared" si="168"/>
        <v>22</v>
      </c>
      <c r="HD104" s="107">
        <v>0</v>
      </c>
      <c r="HE104" s="107">
        <v>0</v>
      </c>
      <c r="HF104" s="107">
        <v>0</v>
      </c>
      <c r="HG104" s="107">
        <v>0</v>
      </c>
      <c r="HH104" s="107">
        <f t="shared" si="165"/>
        <v>0</v>
      </c>
      <c r="HI104" s="107">
        <f t="shared" si="166"/>
        <v>0</v>
      </c>
      <c r="HJ104" s="107">
        <f t="shared" si="171"/>
        <v>34</v>
      </c>
      <c r="HK104" s="107">
        <v>0</v>
      </c>
      <c r="HL104" s="107">
        <v>0</v>
      </c>
      <c r="HM104" s="107">
        <v>0</v>
      </c>
      <c r="HN104" s="107">
        <v>0</v>
      </c>
      <c r="HO104" s="107">
        <f t="shared" si="169"/>
        <v>0</v>
      </c>
      <c r="HP104" s="107">
        <f t="shared" si="170"/>
        <v>0</v>
      </c>
      <c r="HQ104" s="107">
        <f t="shared" si="174"/>
        <v>51</v>
      </c>
      <c r="HR104" s="107">
        <v>0</v>
      </c>
      <c r="HS104" s="107">
        <v>0</v>
      </c>
      <c r="HT104" s="107">
        <v>0</v>
      </c>
      <c r="HU104" s="107">
        <v>0</v>
      </c>
      <c r="HV104" s="107">
        <f t="shared" si="172"/>
        <v>540</v>
      </c>
      <c r="HW104" s="107">
        <f t="shared" si="173"/>
        <v>0</v>
      </c>
      <c r="HX104" s="107">
        <f t="shared" si="177"/>
        <v>77</v>
      </c>
      <c r="HY104" s="107">
        <f>IF($H$120="yes",HX104*$FR$95,0)</f>
        <v>0</v>
      </c>
      <c r="HZ104" s="107">
        <f>IF($H$120="no",HX104*$FS$95,0)</f>
        <v>7494.666666666666</v>
      </c>
      <c r="IA104" s="107">
        <v>0</v>
      </c>
      <c r="IB104" s="107">
        <v>0</v>
      </c>
      <c r="IC104" s="107">
        <f t="shared" si="175"/>
        <v>540</v>
      </c>
      <c r="ID104" s="107">
        <f t="shared" si="176"/>
        <v>0</v>
      </c>
      <c r="IE104" s="107">
        <f t="shared" si="180"/>
        <v>117</v>
      </c>
      <c r="IF104" s="107">
        <f>IF($H$120="yes",IE104*$FR$94,0)</f>
        <v>0</v>
      </c>
      <c r="IG104" s="107">
        <f>IF($H$120="no",IE104*$FS$94,0)</f>
        <v>22776</v>
      </c>
      <c r="IH104" s="107">
        <f>IF($H$120="yes",ROUND($I$17*IE104,0)*($FR$95),ROUND($I$17*IE104,0)*($FS$95))</f>
        <v>3796</v>
      </c>
      <c r="II104" s="107">
        <f>IF($H$120="yes",ROUND($I$20*IE104,0)*($FR$95),ROUND($I$20*IE104,0)*($FS$95))</f>
        <v>97.33333333333333</v>
      </c>
      <c r="IJ104" s="107">
        <f t="shared" si="178"/>
        <v>540</v>
      </c>
      <c r="IK104" s="107">
        <f t="shared" si="179"/>
        <v>0</v>
      </c>
      <c r="IL104" s="107">
        <f t="shared" si="140"/>
        <v>30270.666666666664</v>
      </c>
      <c r="IM104" s="107">
        <f t="shared" si="141"/>
        <v>3893.3333333333335</v>
      </c>
      <c r="IN104" s="107">
        <f t="shared" si="142"/>
        <v>1620</v>
      </c>
      <c r="IO104" s="27">
        <f t="shared" si="142"/>
        <v>0</v>
      </c>
    </row>
    <row r="105" spans="1:249" ht="17.25" thickBot="1" thickTop="1">
      <c r="A105" s="480">
        <v>85</v>
      </c>
      <c r="B105" s="412" t="s">
        <v>449</v>
      </c>
      <c r="C105" s="413" t="s">
        <v>85</v>
      </c>
      <c r="D105" s="485">
        <v>60</v>
      </c>
      <c r="E105" s="458">
        <f>D105*A105</f>
        <v>5100</v>
      </c>
      <c r="G105" s="56" t="s">
        <v>450</v>
      </c>
      <c r="H105" s="438"/>
      <c r="I105" s="229" t="s">
        <v>451</v>
      </c>
      <c r="J105" s="203"/>
      <c r="K105" s="326" t="s">
        <v>452</v>
      </c>
      <c r="L105" s="107">
        <f t="shared" si="163"/>
        <v>10</v>
      </c>
      <c r="M105" s="328">
        <f t="shared" si="155"/>
        <v>10</v>
      </c>
      <c r="N105" s="107">
        <f t="shared" si="156"/>
        <v>0</v>
      </c>
      <c r="O105" s="107">
        <f t="shared" si="167"/>
        <v>5400</v>
      </c>
      <c r="P105" s="107">
        <f t="shared" si="167"/>
        <v>0</v>
      </c>
      <c r="Q105" s="107">
        <f t="shared" si="157"/>
        <v>12000</v>
      </c>
      <c r="R105" s="96"/>
      <c r="S105" s="96">
        <f t="shared" si="158"/>
        <v>6600</v>
      </c>
      <c r="T105" s="107">
        <f t="shared" si="159"/>
        <v>0</v>
      </c>
      <c r="FH105" s="62">
        <v>15</v>
      </c>
      <c r="FI105" s="107">
        <v>0</v>
      </c>
      <c r="FJ105" s="107">
        <v>0</v>
      </c>
      <c r="FK105" s="107">
        <v>0</v>
      </c>
      <c r="FL105" s="107">
        <v>0</v>
      </c>
      <c r="FM105" s="107">
        <v>0</v>
      </c>
      <c r="FN105" s="107">
        <v>0</v>
      </c>
      <c r="FO105" s="107">
        <v>0</v>
      </c>
      <c r="FP105" s="107">
        <v>0</v>
      </c>
      <c r="FQ105" s="107">
        <v>0</v>
      </c>
      <c r="FR105" s="107">
        <v>0</v>
      </c>
      <c r="FS105" s="107">
        <v>0</v>
      </c>
      <c r="FT105" s="107">
        <v>0</v>
      </c>
      <c r="FU105" s="107">
        <v>0</v>
      </c>
      <c r="FV105" s="107">
        <v>0</v>
      </c>
      <c r="FW105" s="107">
        <v>0</v>
      </c>
      <c r="FX105" s="107">
        <v>0</v>
      </c>
      <c r="FY105" s="107">
        <v>0</v>
      </c>
      <c r="FZ105" s="107">
        <v>0</v>
      </c>
      <c r="GA105" s="107">
        <v>0</v>
      </c>
      <c r="GB105" s="107">
        <v>0</v>
      </c>
      <c r="GC105" s="107">
        <v>0</v>
      </c>
      <c r="GD105" s="107">
        <v>0</v>
      </c>
      <c r="GE105" s="107">
        <v>0</v>
      </c>
      <c r="GF105" s="107">
        <v>0</v>
      </c>
      <c r="GG105" s="107">
        <v>0</v>
      </c>
      <c r="GH105" s="107">
        <v>0</v>
      </c>
      <c r="GI105" s="107">
        <v>0</v>
      </c>
      <c r="GJ105" s="107">
        <v>0</v>
      </c>
      <c r="GK105" s="107">
        <v>0</v>
      </c>
      <c r="GL105" s="107">
        <v>0</v>
      </c>
      <c r="GM105" s="107">
        <v>0</v>
      </c>
      <c r="GN105" s="107">
        <v>0</v>
      </c>
      <c r="GO105" s="107">
        <v>0</v>
      </c>
      <c r="GP105" s="107">
        <v>0</v>
      </c>
      <c r="GQ105" s="107">
        <v>0</v>
      </c>
      <c r="GR105" s="107">
        <v>0</v>
      </c>
      <c r="GS105" s="107">
        <v>0</v>
      </c>
      <c r="GT105" s="107">
        <v>0</v>
      </c>
      <c r="GU105" s="107">
        <v>0</v>
      </c>
      <c r="GV105" s="107">
        <f t="shared" si="164"/>
        <v>10</v>
      </c>
      <c r="GW105" s="107">
        <v>0</v>
      </c>
      <c r="GX105" s="107">
        <v>0</v>
      </c>
      <c r="GY105" s="107">
        <v>0</v>
      </c>
      <c r="GZ105" s="107">
        <v>0</v>
      </c>
      <c r="HA105" s="107">
        <f t="shared" si="161"/>
        <v>0</v>
      </c>
      <c r="HB105" s="107">
        <f t="shared" si="162"/>
        <v>0</v>
      </c>
      <c r="HC105" s="107">
        <f t="shared" si="168"/>
        <v>15</v>
      </c>
      <c r="HD105" s="107">
        <v>0</v>
      </c>
      <c r="HE105" s="107">
        <v>0</v>
      </c>
      <c r="HF105" s="107">
        <v>0</v>
      </c>
      <c r="HG105" s="107">
        <v>0</v>
      </c>
      <c r="HH105" s="107">
        <f t="shared" si="165"/>
        <v>0</v>
      </c>
      <c r="HI105" s="107">
        <f t="shared" si="166"/>
        <v>0</v>
      </c>
      <c r="HJ105" s="107">
        <f t="shared" si="171"/>
        <v>22</v>
      </c>
      <c r="HK105" s="107">
        <v>0</v>
      </c>
      <c r="HL105" s="107">
        <v>0</v>
      </c>
      <c r="HM105" s="107">
        <v>0</v>
      </c>
      <c r="HN105" s="107">
        <v>0</v>
      </c>
      <c r="HO105" s="107">
        <f t="shared" si="169"/>
        <v>0</v>
      </c>
      <c r="HP105" s="107">
        <f t="shared" si="170"/>
        <v>0</v>
      </c>
      <c r="HQ105" s="107">
        <f t="shared" si="174"/>
        <v>34</v>
      </c>
      <c r="HR105" s="107">
        <v>0</v>
      </c>
      <c r="HS105" s="107">
        <v>0</v>
      </c>
      <c r="HT105" s="107">
        <v>0</v>
      </c>
      <c r="HU105" s="107">
        <v>0</v>
      </c>
      <c r="HV105" s="107">
        <f t="shared" si="172"/>
        <v>0</v>
      </c>
      <c r="HW105" s="107">
        <f t="shared" si="173"/>
        <v>0</v>
      </c>
      <c r="HX105" s="107">
        <f t="shared" si="177"/>
        <v>51</v>
      </c>
      <c r="HY105" s="107">
        <v>0</v>
      </c>
      <c r="HZ105" s="107">
        <v>0</v>
      </c>
      <c r="IA105" s="107">
        <v>0</v>
      </c>
      <c r="IB105" s="107">
        <v>0</v>
      </c>
      <c r="IC105" s="107">
        <f t="shared" si="175"/>
        <v>540</v>
      </c>
      <c r="ID105" s="107">
        <f t="shared" si="176"/>
        <v>0</v>
      </c>
      <c r="IE105" s="107">
        <f t="shared" si="180"/>
        <v>77</v>
      </c>
      <c r="IF105" s="107">
        <f>IF($H$120="yes",IE105*$FR$95,0)</f>
        <v>0</v>
      </c>
      <c r="IG105" s="107">
        <f>IF($H$120="no",IE105*$FS$95,0)</f>
        <v>7494.666666666666</v>
      </c>
      <c r="IH105" s="107">
        <v>0</v>
      </c>
      <c r="II105" s="107">
        <v>0</v>
      </c>
      <c r="IJ105" s="107">
        <f t="shared" si="178"/>
        <v>540</v>
      </c>
      <c r="IK105" s="107">
        <f t="shared" si="179"/>
        <v>0</v>
      </c>
      <c r="IL105" s="107">
        <f t="shared" si="140"/>
        <v>7494.666666666666</v>
      </c>
      <c r="IM105" s="107">
        <f t="shared" si="141"/>
        <v>0</v>
      </c>
      <c r="IN105" s="107">
        <f t="shared" si="142"/>
        <v>1080</v>
      </c>
      <c r="IO105" s="27">
        <f t="shared" si="142"/>
        <v>0</v>
      </c>
    </row>
    <row r="106" spans="1:249" ht="16.5" thickTop="1">
      <c r="A106" s="480">
        <v>1087</v>
      </c>
      <c r="B106" s="412" t="s">
        <v>453</v>
      </c>
      <c r="C106" s="413" t="s">
        <v>454</v>
      </c>
      <c r="D106" s="485">
        <v>110</v>
      </c>
      <c r="E106" s="458">
        <f>D106*A106</f>
        <v>119570</v>
      </c>
      <c r="G106" s="26"/>
      <c r="H106" s="446" t="s">
        <v>455</v>
      </c>
      <c r="I106" s="138" t="s">
        <v>456</v>
      </c>
      <c r="J106" s="203"/>
      <c r="K106" s="326" t="s">
        <v>457</v>
      </c>
      <c r="L106" s="107">
        <f t="shared" si="163"/>
        <v>7</v>
      </c>
      <c r="M106" s="328">
        <f t="shared" si="155"/>
        <v>7</v>
      </c>
      <c r="N106" s="107">
        <f t="shared" si="156"/>
        <v>0</v>
      </c>
      <c r="O106" s="107">
        <f t="shared" si="167"/>
        <v>3780</v>
      </c>
      <c r="P106" s="107">
        <f t="shared" si="167"/>
        <v>0</v>
      </c>
      <c r="Q106" s="107">
        <f t="shared" si="157"/>
        <v>8400</v>
      </c>
      <c r="R106" s="96"/>
      <c r="S106" s="96">
        <f t="shared" si="158"/>
        <v>4620</v>
      </c>
      <c r="T106" s="107">
        <f t="shared" si="159"/>
        <v>0</v>
      </c>
      <c r="FH106" s="62">
        <v>16</v>
      </c>
      <c r="FI106" s="107">
        <v>0</v>
      </c>
      <c r="FJ106" s="107">
        <v>0</v>
      </c>
      <c r="FK106" s="107">
        <v>0</v>
      </c>
      <c r="FL106" s="107">
        <v>0</v>
      </c>
      <c r="FM106" s="107">
        <v>0</v>
      </c>
      <c r="FN106" s="107">
        <v>0</v>
      </c>
      <c r="FO106" s="107">
        <v>0</v>
      </c>
      <c r="FP106" s="107">
        <v>0</v>
      </c>
      <c r="FQ106" s="107">
        <v>0</v>
      </c>
      <c r="FR106" s="107">
        <v>0</v>
      </c>
      <c r="FS106" s="107">
        <v>0</v>
      </c>
      <c r="FT106" s="107">
        <v>0</v>
      </c>
      <c r="FU106" s="107">
        <v>0</v>
      </c>
      <c r="FV106" s="107">
        <v>0</v>
      </c>
      <c r="FW106" s="107">
        <v>0</v>
      </c>
      <c r="FX106" s="107">
        <v>0</v>
      </c>
      <c r="FY106" s="107">
        <v>0</v>
      </c>
      <c r="FZ106" s="107">
        <v>0</v>
      </c>
      <c r="GA106" s="107">
        <v>0</v>
      </c>
      <c r="GB106" s="107">
        <v>0</v>
      </c>
      <c r="GC106" s="107">
        <v>0</v>
      </c>
      <c r="GD106" s="107">
        <v>0</v>
      </c>
      <c r="GE106" s="107">
        <v>0</v>
      </c>
      <c r="GF106" s="107">
        <v>0</v>
      </c>
      <c r="GG106" s="107">
        <v>0</v>
      </c>
      <c r="GH106" s="107">
        <v>0</v>
      </c>
      <c r="GI106" s="107">
        <v>0</v>
      </c>
      <c r="GJ106" s="107">
        <v>0</v>
      </c>
      <c r="GK106" s="107">
        <v>0</v>
      </c>
      <c r="GL106" s="107">
        <v>0</v>
      </c>
      <c r="GM106" s="107">
        <v>0</v>
      </c>
      <c r="GN106" s="107">
        <v>0</v>
      </c>
      <c r="GO106" s="107">
        <v>0</v>
      </c>
      <c r="GP106" s="107">
        <v>0</v>
      </c>
      <c r="GQ106" s="107">
        <v>0</v>
      </c>
      <c r="GR106" s="107">
        <v>0</v>
      </c>
      <c r="GS106" s="107">
        <v>0</v>
      </c>
      <c r="GT106" s="107">
        <v>0</v>
      </c>
      <c r="GU106" s="107">
        <v>0</v>
      </c>
      <c r="GV106" s="107">
        <v>0</v>
      </c>
      <c r="GW106" s="107">
        <v>0</v>
      </c>
      <c r="GX106" s="107">
        <v>0</v>
      </c>
      <c r="GY106" s="107">
        <v>0</v>
      </c>
      <c r="GZ106" s="107">
        <v>0</v>
      </c>
      <c r="HA106" s="107">
        <v>0</v>
      </c>
      <c r="HB106" s="107">
        <v>0</v>
      </c>
      <c r="HC106" s="107">
        <f t="shared" si="168"/>
        <v>10</v>
      </c>
      <c r="HD106" s="107">
        <v>0</v>
      </c>
      <c r="HE106" s="107">
        <v>0</v>
      </c>
      <c r="HF106" s="107">
        <v>0</v>
      </c>
      <c r="HG106" s="107">
        <v>0</v>
      </c>
      <c r="HH106" s="107">
        <f t="shared" si="165"/>
        <v>0</v>
      </c>
      <c r="HI106" s="107">
        <f t="shared" si="166"/>
        <v>0</v>
      </c>
      <c r="HJ106" s="107">
        <f t="shared" si="171"/>
        <v>15</v>
      </c>
      <c r="HK106" s="107">
        <v>0</v>
      </c>
      <c r="HL106" s="107">
        <v>0</v>
      </c>
      <c r="HM106" s="107">
        <v>0</v>
      </c>
      <c r="HN106" s="107">
        <v>0</v>
      </c>
      <c r="HO106" s="107">
        <f t="shared" si="169"/>
        <v>0</v>
      </c>
      <c r="HP106" s="107">
        <f t="shared" si="170"/>
        <v>0</v>
      </c>
      <c r="HQ106" s="107">
        <f t="shared" si="174"/>
        <v>22</v>
      </c>
      <c r="HR106" s="107">
        <v>0</v>
      </c>
      <c r="HS106" s="107">
        <v>0</v>
      </c>
      <c r="HT106" s="107">
        <v>0</v>
      </c>
      <c r="HU106" s="107">
        <v>0</v>
      </c>
      <c r="HV106" s="107">
        <f t="shared" si="172"/>
        <v>0</v>
      </c>
      <c r="HW106" s="107">
        <f t="shared" si="173"/>
        <v>0</v>
      </c>
      <c r="HX106" s="107">
        <f t="shared" si="177"/>
        <v>34</v>
      </c>
      <c r="HY106" s="107">
        <v>0</v>
      </c>
      <c r="HZ106" s="107">
        <v>0</v>
      </c>
      <c r="IA106" s="107">
        <v>0</v>
      </c>
      <c r="IB106" s="107">
        <v>0</v>
      </c>
      <c r="IC106" s="107">
        <f t="shared" si="175"/>
        <v>0</v>
      </c>
      <c r="ID106" s="107">
        <f t="shared" si="176"/>
        <v>0</v>
      </c>
      <c r="IE106" s="107">
        <f t="shared" si="180"/>
        <v>51</v>
      </c>
      <c r="IF106" s="107">
        <v>0</v>
      </c>
      <c r="IG106" s="107">
        <v>0</v>
      </c>
      <c r="IH106" s="107">
        <v>0</v>
      </c>
      <c r="II106" s="107">
        <v>0</v>
      </c>
      <c r="IJ106" s="107">
        <f t="shared" si="178"/>
        <v>540</v>
      </c>
      <c r="IK106" s="107">
        <f t="shared" si="179"/>
        <v>0</v>
      </c>
      <c r="IL106" s="107">
        <f t="shared" si="140"/>
        <v>0</v>
      </c>
      <c r="IM106" s="107">
        <f t="shared" si="141"/>
        <v>0</v>
      </c>
      <c r="IN106" s="107">
        <f t="shared" si="142"/>
        <v>540</v>
      </c>
      <c r="IO106" s="27">
        <f t="shared" si="142"/>
        <v>0</v>
      </c>
    </row>
    <row r="107" spans="1:249" ht="16.5" thickBot="1">
      <c r="A107" s="481">
        <v>40</v>
      </c>
      <c r="B107" s="414" t="s">
        <v>458</v>
      </c>
      <c r="C107" s="415" t="s">
        <v>85</v>
      </c>
      <c r="D107" s="486">
        <v>2250</v>
      </c>
      <c r="E107" s="459">
        <f>D107*A107</f>
        <v>90000</v>
      </c>
      <c r="G107" s="26"/>
      <c r="H107" s="447" t="s">
        <v>459</v>
      </c>
      <c r="I107" s="139" t="s">
        <v>460</v>
      </c>
      <c r="J107" s="203"/>
      <c r="K107" s="326" t="s">
        <v>461</v>
      </c>
      <c r="L107" s="107">
        <f t="shared" si="163"/>
        <v>5</v>
      </c>
      <c r="M107" s="328">
        <f t="shared" si="155"/>
        <v>5</v>
      </c>
      <c r="N107" s="107">
        <f t="shared" si="156"/>
        <v>0</v>
      </c>
      <c r="O107" s="107">
        <f t="shared" si="167"/>
        <v>2700</v>
      </c>
      <c r="P107" s="107">
        <f t="shared" si="167"/>
        <v>0</v>
      </c>
      <c r="Q107" s="107">
        <f t="shared" si="157"/>
        <v>6000</v>
      </c>
      <c r="R107" s="96"/>
      <c r="S107" s="96">
        <f t="shared" si="158"/>
        <v>3300</v>
      </c>
      <c r="T107" s="107">
        <f t="shared" si="159"/>
        <v>0</v>
      </c>
      <c r="FH107" s="62">
        <v>17</v>
      </c>
      <c r="FI107" s="107">
        <v>0</v>
      </c>
      <c r="FJ107" s="107">
        <v>0</v>
      </c>
      <c r="FK107" s="107">
        <v>0</v>
      </c>
      <c r="FL107" s="107">
        <v>0</v>
      </c>
      <c r="FM107" s="107">
        <v>0</v>
      </c>
      <c r="FN107" s="107">
        <v>0</v>
      </c>
      <c r="FO107" s="107">
        <v>0</v>
      </c>
      <c r="FP107" s="107">
        <v>0</v>
      </c>
      <c r="FQ107" s="107">
        <v>0</v>
      </c>
      <c r="FR107" s="107">
        <v>0</v>
      </c>
      <c r="FS107" s="107">
        <v>0</v>
      </c>
      <c r="FT107" s="107">
        <v>0</v>
      </c>
      <c r="FU107" s="107">
        <v>0</v>
      </c>
      <c r="FV107" s="107">
        <v>0</v>
      </c>
      <c r="FW107" s="107">
        <v>0</v>
      </c>
      <c r="FX107" s="107">
        <v>0</v>
      </c>
      <c r="FY107" s="107">
        <v>0</v>
      </c>
      <c r="FZ107" s="107">
        <v>0</v>
      </c>
      <c r="GA107" s="107">
        <v>0</v>
      </c>
      <c r="GB107" s="107">
        <v>0</v>
      </c>
      <c r="GC107" s="107">
        <v>0</v>
      </c>
      <c r="GD107" s="107">
        <v>0</v>
      </c>
      <c r="GE107" s="107">
        <v>0</v>
      </c>
      <c r="GF107" s="107">
        <v>0</v>
      </c>
      <c r="GG107" s="107">
        <v>0</v>
      </c>
      <c r="GH107" s="107">
        <v>0</v>
      </c>
      <c r="GI107" s="107">
        <v>0</v>
      </c>
      <c r="GJ107" s="107">
        <v>0</v>
      </c>
      <c r="GK107" s="107">
        <v>0</v>
      </c>
      <c r="GL107" s="107">
        <v>0</v>
      </c>
      <c r="GM107" s="107">
        <v>0</v>
      </c>
      <c r="GN107" s="107">
        <v>0</v>
      </c>
      <c r="GO107" s="107">
        <v>0</v>
      </c>
      <c r="GP107" s="107">
        <v>0</v>
      </c>
      <c r="GQ107" s="107">
        <v>0</v>
      </c>
      <c r="GR107" s="107">
        <v>0</v>
      </c>
      <c r="GS107" s="107">
        <v>0</v>
      </c>
      <c r="GT107" s="107">
        <v>0</v>
      </c>
      <c r="GU107" s="107">
        <v>0</v>
      </c>
      <c r="GV107" s="107">
        <v>0</v>
      </c>
      <c r="GW107" s="107">
        <v>0</v>
      </c>
      <c r="GX107" s="107">
        <v>0</v>
      </c>
      <c r="GY107" s="107">
        <v>0</v>
      </c>
      <c r="GZ107" s="107">
        <v>0</v>
      </c>
      <c r="HA107" s="107">
        <v>0</v>
      </c>
      <c r="HB107" s="107">
        <v>0</v>
      </c>
      <c r="HC107" s="107">
        <v>0</v>
      </c>
      <c r="HD107" s="107">
        <v>0</v>
      </c>
      <c r="HE107" s="107">
        <v>0</v>
      </c>
      <c r="HF107" s="107">
        <v>0</v>
      </c>
      <c r="HG107" s="107">
        <v>0</v>
      </c>
      <c r="HH107" s="107">
        <v>0</v>
      </c>
      <c r="HI107" s="107">
        <v>0</v>
      </c>
      <c r="HJ107" s="107">
        <f t="shared" si="171"/>
        <v>10</v>
      </c>
      <c r="HK107" s="107">
        <v>0</v>
      </c>
      <c r="HL107" s="107">
        <v>0</v>
      </c>
      <c r="HM107" s="107">
        <v>0</v>
      </c>
      <c r="HN107" s="107">
        <v>0</v>
      </c>
      <c r="HO107" s="107">
        <f t="shared" si="169"/>
        <v>0</v>
      </c>
      <c r="HP107" s="107">
        <f t="shared" si="170"/>
        <v>0</v>
      </c>
      <c r="HQ107" s="107">
        <f t="shared" si="174"/>
        <v>15</v>
      </c>
      <c r="HR107" s="107">
        <v>0</v>
      </c>
      <c r="HS107" s="107">
        <v>0</v>
      </c>
      <c r="HT107" s="107">
        <v>0</v>
      </c>
      <c r="HU107" s="107">
        <v>0</v>
      </c>
      <c r="HV107" s="107">
        <f t="shared" si="172"/>
        <v>0</v>
      </c>
      <c r="HW107" s="107">
        <f t="shared" si="173"/>
        <v>0</v>
      </c>
      <c r="HX107" s="107">
        <f t="shared" si="177"/>
        <v>22</v>
      </c>
      <c r="HY107" s="107">
        <v>0</v>
      </c>
      <c r="HZ107" s="107">
        <v>0</v>
      </c>
      <c r="IA107" s="107">
        <v>0</v>
      </c>
      <c r="IB107" s="107">
        <v>0</v>
      </c>
      <c r="IC107" s="107">
        <f t="shared" si="175"/>
        <v>0</v>
      </c>
      <c r="ID107" s="107">
        <f t="shared" si="176"/>
        <v>0</v>
      </c>
      <c r="IE107" s="107">
        <f t="shared" si="180"/>
        <v>34</v>
      </c>
      <c r="IF107" s="107">
        <v>0</v>
      </c>
      <c r="IG107" s="107">
        <v>0</v>
      </c>
      <c r="IH107" s="107">
        <v>0</v>
      </c>
      <c r="II107" s="107">
        <v>0</v>
      </c>
      <c r="IJ107" s="107">
        <f t="shared" si="178"/>
        <v>0</v>
      </c>
      <c r="IK107" s="107">
        <f t="shared" si="179"/>
        <v>0</v>
      </c>
      <c r="IL107" s="107">
        <f t="shared" si="140"/>
        <v>0</v>
      </c>
      <c r="IM107" s="107">
        <f t="shared" si="141"/>
        <v>0</v>
      </c>
      <c r="IN107" s="107">
        <f t="shared" si="142"/>
        <v>0</v>
      </c>
      <c r="IO107" s="27">
        <f t="shared" si="142"/>
        <v>0</v>
      </c>
    </row>
    <row r="108" spans="1:249" ht="16.5" thickTop="1">
      <c r="A108" s="13"/>
      <c r="B108" s="418"/>
      <c r="C108" s="425"/>
      <c r="D108" s="376" t="s">
        <v>104</v>
      </c>
      <c r="E108" s="368">
        <f>ROUND(SUM(E104:E107),0)</f>
        <v>234670</v>
      </c>
      <c r="G108" s="394" t="s">
        <v>391</v>
      </c>
      <c r="H108" s="91">
        <v>10</v>
      </c>
      <c r="I108" s="498">
        <v>0.5</v>
      </c>
      <c r="J108" s="203"/>
      <c r="K108" s="326" t="s">
        <v>462</v>
      </c>
      <c r="L108" s="107">
        <f t="shared" si="163"/>
        <v>3</v>
      </c>
      <c r="M108" s="328">
        <f t="shared" si="155"/>
        <v>3</v>
      </c>
      <c r="N108" s="107">
        <f t="shared" si="156"/>
        <v>0</v>
      </c>
      <c r="O108" s="107">
        <f t="shared" si="167"/>
        <v>1620</v>
      </c>
      <c r="P108" s="107">
        <f t="shared" si="167"/>
        <v>0</v>
      </c>
      <c r="Q108" s="107">
        <f t="shared" si="157"/>
        <v>3600</v>
      </c>
      <c r="R108" s="96"/>
      <c r="S108" s="96">
        <f t="shared" si="158"/>
        <v>1980</v>
      </c>
      <c r="T108" s="107">
        <f t="shared" si="159"/>
        <v>0</v>
      </c>
      <c r="FH108" s="62">
        <v>18</v>
      </c>
      <c r="FI108" s="107">
        <v>0</v>
      </c>
      <c r="FJ108" s="107">
        <v>0</v>
      </c>
      <c r="FK108" s="107">
        <v>0</v>
      </c>
      <c r="FL108" s="107">
        <v>0</v>
      </c>
      <c r="FM108" s="107">
        <v>0</v>
      </c>
      <c r="FN108" s="107">
        <v>0</v>
      </c>
      <c r="FO108" s="107">
        <v>0</v>
      </c>
      <c r="FP108" s="107">
        <v>0</v>
      </c>
      <c r="FQ108" s="107">
        <v>0</v>
      </c>
      <c r="FR108" s="107">
        <v>0</v>
      </c>
      <c r="FS108" s="107">
        <v>0</v>
      </c>
      <c r="FT108" s="107">
        <v>0</v>
      </c>
      <c r="FU108" s="107">
        <v>0</v>
      </c>
      <c r="FV108" s="107">
        <v>0</v>
      </c>
      <c r="FW108" s="107">
        <v>0</v>
      </c>
      <c r="FX108" s="107">
        <v>0</v>
      </c>
      <c r="FY108" s="107">
        <v>0</v>
      </c>
      <c r="FZ108" s="107">
        <v>0</v>
      </c>
      <c r="GA108" s="107">
        <v>0</v>
      </c>
      <c r="GB108" s="107">
        <v>0</v>
      </c>
      <c r="GC108" s="107">
        <v>0</v>
      </c>
      <c r="GD108" s="107">
        <v>0</v>
      </c>
      <c r="GE108" s="107">
        <v>0</v>
      </c>
      <c r="GF108" s="107">
        <v>0</v>
      </c>
      <c r="GG108" s="107">
        <v>0</v>
      </c>
      <c r="GH108" s="107">
        <v>0</v>
      </c>
      <c r="GI108" s="107">
        <v>0</v>
      </c>
      <c r="GJ108" s="107">
        <v>0</v>
      </c>
      <c r="GK108" s="107">
        <v>0</v>
      </c>
      <c r="GL108" s="107">
        <v>0</v>
      </c>
      <c r="GM108" s="107">
        <v>0</v>
      </c>
      <c r="GN108" s="107">
        <v>0</v>
      </c>
      <c r="GO108" s="107">
        <v>0</v>
      </c>
      <c r="GP108" s="107">
        <v>0</v>
      </c>
      <c r="GQ108" s="107">
        <v>0</v>
      </c>
      <c r="GR108" s="107">
        <v>0</v>
      </c>
      <c r="GS108" s="107">
        <v>0</v>
      </c>
      <c r="GT108" s="107">
        <v>0</v>
      </c>
      <c r="GU108" s="107">
        <v>0</v>
      </c>
      <c r="GV108" s="107">
        <v>0</v>
      </c>
      <c r="GW108" s="107">
        <v>0</v>
      </c>
      <c r="GX108" s="107">
        <v>0</v>
      </c>
      <c r="GY108" s="107">
        <v>0</v>
      </c>
      <c r="GZ108" s="107">
        <v>0</v>
      </c>
      <c r="HA108" s="107">
        <v>0</v>
      </c>
      <c r="HB108" s="107">
        <v>0</v>
      </c>
      <c r="HC108" s="107">
        <v>0</v>
      </c>
      <c r="HD108" s="107">
        <v>0</v>
      </c>
      <c r="HE108" s="107">
        <v>0</v>
      </c>
      <c r="HF108" s="107">
        <v>0</v>
      </c>
      <c r="HG108" s="107">
        <v>0</v>
      </c>
      <c r="HH108" s="107">
        <v>0</v>
      </c>
      <c r="HI108" s="107">
        <v>0</v>
      </c>
      <c r="HJ108" s="107">
        <v>0</v>
      </c>
      <c r="HK108" s="107">
        <v>0</v>
      </c>
      <c r="HL108" s="107">
        <v>0</v>
      </c>
      <c r="HM108" s="107">
        <v>0</v>
      </c>
      <c r="HN108" s="107">
        <v>0</v>
      </c>
      <c r="HO108" s="107">
        <v>0</v>
      </c>
      <c r="HP108" s="107">
        <v>0</v>
      </c>
      <c r="HQ108" s="107">
        <f t="shared" si="174"/>
        <v>10</v>
      </c>
      <c r="HR108" s="107">
        <v>0</v>
      </c>
      <c r="HS108" s="107">
        <v>0</v>
      </c>
      <c r="HT108" s="107">
        <v>0</v>
      </c>
      <c r="HU108" s="107">
        <v>0</v>
      </c>
      <c r="HV108" s="107">
        <f t="shared" si="172"/>
        <v>0</v>
      </c>
      <c r="HW108" s="107">
        <f t="shared" si="173"/>
        <v>0</v>
      </c>
      <c r="HX108" s="107">
        <f t="shared" si="177"/>
        <v>15</v>
      </c>
      <c r="HY108" s="107">
        <v>0</v>
      </c>
      <c r="HZ108" s="107">
        <v>0</v>
      </c>
      <c r="IA108" s="107">
        <v>0</v>
      </c>
      <c r="IB108" s="107">
        <v>0</v>
      </c>
      <c r="IC108" s="107">
        <f t="shared" si="175"/>
        <v>0</v>
      </c>
      <c r="ID108" s="107">
        <f t="shared" si="176"/>
        <v>0</v>
      </c>
      <c r="IE108" s="107">
        <f t="shared" si="180"/>
        <v>22</v>
      </c>
      <c r="IF108" s="107">
        <v>0</v>
      </c>
      <c r="IG108" s="107">
        <v>0</v>
      </c>
      <c r="IH108" s="107">
        <v>0</v>
      </c>
      <c r="II108" s="107">
        <v>0</v>
      </c>
      <c r="IJ108" s="107">
        <f t="shared" si="178"/>
        <v>0</v>
      </c>
      <c r="IK108" s="107">
        <f t="shared" si="179"/>
        <v>0</v>
      </c>
      <c r="IL108" s="107">
        <f t="shared" si="140"/>
        <v>0</v>
      </c>
      <c r="IM108" s="107">
        <f t="shared" si="141"/>
        <v>0</v>
      </c>
      <c r="IN108" s="107">
        <f t="shared" si="142"/>
        <v>0</v>
      </c>
      <c r="IO108" s="27">
        <f t="shared" si="142"/>
        <v>0</v>
      </c>
    </row>
    <row r="109" spans="1:249" ht="16.5" thickBot="1">
      <c r="A109" s="1" t="s">
        <v>463</v>
      </c>
      <c r="B109" s="418"/>
      <c r="C109" s="425"/>
      <c r="D109" s="365"/>
      <c r="E109" s="364"/>
      <c r="G109" s="394" t="s">
        <v>393</v>
      </c>
      <c r="H109" s="91" t="s">
        <v>464</v>
      </c>
      <c r="I109" s="498">
        <v>0.5</v>
      </c>
      <c r="J109" s="203"/>
      <c r="K109" s="326" t="s">
        <v>465</v>
      </c>
      <c r="L109" s="107">
        <f t="shared" si="163"/>
        <v>2</v>
      </c>
      <c r="M109" s="328">
        <f t="shared" si="155"/>
        <v>2</v>
      </c>
      <c r="N109" s="107">
        <f t="shared" si="156"/>
        <v>0</v>
      </c>
      <c r="O109" s="107">
        <f t="shared" si="167"/>
        <v>1080</v>
      </c>
      <c r="P109" s="107">
        <f t="shared" si="167"/>
        <v>0</v>
      </c>
      <c r="Q109" s="107">
        <f t="shared" si="157"/>
        <v>2400</v>
      </c>
      <c r="R109" s="96"/>
      <c r="S109" s="96">
        <f t="shared" si="158"/>
        <v>1320</v>
      </c>
      <c r="T109" s="107">
        <f t="shared" si="159"/>
        <v>0</v>
      </c>
      <c r="FH109" s="62">
        <v>19</v>
      </c>
      <c r="FI109" s="107">
        <v>0</v>
      </c>
      <c r="FJ109" s="107">
        <v>0</v>
      </c>
      <c r="FK109" s="107">
        <v>0</v>
      </c>
      <c r="FL109" s="107">
        <v>0</v>
      </c>
      <c r="FM109" s="107">
        <v>0</v>
      </c>
      <c r="FN109" s="107">
        <v>0</v>
      </c>
      <c r="FO109" s="107">
        <v>0</v>
      </c>
      <c r="FP109" s="107">
        <v>0</v>
      </c>
      <c r="FQ109" s="107">
        <v>0</v>
      </c>
      <c r="FR109" s="107">
        <v>0</v>
      </c>
      <c r="FS109" s="107">
        <v>0</v>
      </c>
      <c r="FT109" s="107">
        <v>0</v>
      </c>
      <c r="FU109" s="107">
        <v>0</v>
      </c>
      <c r="FV109" s="107">
        <v>0</v>
      </c>
      <c r="FW109" s="107">
        <v>0</v>
      </c>
      <c r="FX109" s="107">
        <v>0</v>
      </c>
      <c r="FY109" s="107">
        <v>0</v>
      </c>
      <c r="FZ109" s="107">
        <v>0</v>
      </c>
      <c r="GA109" s="107">
        <v>0</v>
      </c>
      <c r="GB109" s="107">
        <v>0</v>
      </c>
      <c r="GC109" s="107">
        <v>0</v>
      </c>
      <c r="GD109" s="107">
        <v>0</v>
      </c>
      <c r="GE109" s="107">
        <v>0</v>
      </c>
      <c r="GF109" s="107">
        <v>0</v>
      </c>
      <c r="GG109" s="107">
        <v>0</v>
      </c>
      <c r="GH109" s="107">
        <v>0</v>
      </c>
      <c r="GI109" s="107">
        <v>0</v>
      </c>
      <c r="GJ109" s="107">
        <v>0</v>
      </c>
      <c r="GK109" s="107">
        <v>0</v>
      </c>
      <c r="GL109" s="107">
        <v>0</v>
      </c>
      <c r="GM109" s="107">
        <v>0</v>
      </c>
      <c r="GN109" s="107">
        <v>0</v>
      </c>
      <c r="GO109" s="107">
        <v>0</v>
      </c>
      <c r="GP109" s="107">
        <v>0</v>
      </c>
      <c r="GQ109" s="107">
        <v>0</v>
      </c>
      <c r="GR109" s="107">
        <v>0</v>
      </c>
      <c r="GS109" s="107">
        <v>0</v>
      </c>
      <c r="GT109" s="107">
        <v>0</v>
      </c>
      <c r="GU109" s="107">
        <v>0</v>
      </c>
      <c r="GV109" s="107">
        <v>0</v>
      </c>
      <c r="GW109" s="107">
        <v>0</v>
      </c>
      <c r="GX109" s="107">
        <v>0</v>
      </c>
      <c r="GY109" s="107">
        <v>0</v>
      </c>
      <c r="GZ109" s="107">
        <v>0</v>
      </c>
      <c r="HA109" s="107">
        <v>0</v>
      </c>
      <c r="HB109" s="107">
        <v>0</v>
      </c>
      <c r="HC109" s="107">
        <v>0</v>
      </c>
      <c r="HD109" s="107">
        <v>0</v>
      </c>
      <c r="HE109" s="107">
        <v>0</v>
      </c>
      <c r="HF109" s="107">
        <v>0</v>
      </c>
      <c r="HG109" s="107">
        <v>0</v>
      </c>
      <c r="HH109" s="107">
        <v>0</v>
      </c>
      <c r="HI109" s="107">
        <v>0</v>
      </c>
      <c r="HJ109" s="107">
        <v>0</v>
      </c>
      <c r="HK109" s="107">
        <v>0</v>
      </c>
      <c r="HL109" s="107">
        <v>0</v>
      </c>
      <c r="HM109" s="107">
        <v>0</v>
      </c>
      <c r="HN109" s="107">
        <v>0</v>
      </c>
      <c r="HO109" s="107">
        <v>0</v>
      </c>
      <c r="HP109" s="107">
        <v>0</v>
      </c>
      <c r="HQ109" s="107">
        <v>0</v>
      </c>
      <c r="HR109" s="107">
        <v>0</v>
      </c>
      <c r="HS109" s="107">
        <v>0</v>
      </c>
      <c r="HT109" s="107">
        <v>0</v>
      </c>
      <c r="HU109" s="107">
        <v>0</v>
      </c>
      <c r="HV109" s="107">
        <v>0</v>
      </c>
      <c r="HW109" s="107">
        <v>0</v>
      </c>
      <c r="HX109" s="107">
        <f t="shared" si="177"/>
        <v>10</v>
      </c>
      <c r="HY109" s="107">
        <v>0</v>
      </c>
      <c r="HZ109" s="107">
        <v>0</v>
      </c>
      <c r="IA109" s="107">
        <v>0</v>
      </c>
      <c r="IB109" s="107">
        <v>0</v>
      </c>
      <c r="IC109" s="107">
        <f t="shared" si="175"/>
        <v>0</v>
      </c>
      <c r="ID109" s="107">
        <f t="shared" si="176"/>
        <v>0</v>
      </c>
      <c r="IE109" s="107">
        <f t="shared" si="180"/>
        <v>15</v>
      </c>
      <c r="IF109" s="107">
        <v>0</v>
      </c>
      <c r="IG109" s="107">
        <v>0</v>
      </c>
      <c r="IH109" s="107">
        <v>0</v>
      </c>
      <c r="II109" s="107">
        <v>0</v>
      </c>
      <c r="IJ109" s="107">
        <f t="shared" si="178"/>
        <v>0</v>
      </c>
      <c r="IK109" s="107">
        <f t="shared" si="179"/>
        <v>0</v>
      </c>
      <c r="IL109" s="107">
        <f t="shared" si="140"/>
        <v>0</v>
      </c>
      <c r="IM109" s="107">
        <f t="shared" si="141"/>
        <v>0</v>
      </c>
      <c r="IN109" s="107">
        <f t="shared" si="142"/>
        <v>0</v>
      </c>
      <c r="IO109" s="27">
        <f t="shared" si="142"/>
        <v>0</v>
      </c>
    </row>
    <row r="110" spans="1:249" ht="17.25" thickBot="1" thickTop="1">
      <c r="A110" s="6"/>
      <c r="B110" s="419"/>
      <c r="C110" s="423"/>
      <c r="D110" s="373"/>
      <c r="E110" s="366" t="s">
        <v>19</v>
      </c>
      <c r="G110" s="394" t="s">
        <v>395</v>
      </c>
      <c r="H110" s="91">
        <v>10</v>
      </c>
      <c r="I110" s="498">
        <v>0.5</v>
      </c>
      <c r="J110" s="203"/>
      <c r="K110" s="326" t="s">
        <v>466</v>
      </c>
      <c r="L110" s="107">
        <f t="shared" si="163"/>
        <v>1</v>
      </c>
      <c r="M110" s="328">
        <f t="shared" si="155"/>
        <v>1</v>
      </c>
      <c r="N110" s="107">
        <f t="shared" si="156"/>
        <v>0</v>
      </c>
      <c r="O110" s="107">
        <f t="shared" si="167"/>
        <v>540</v>
      </c>
      <c r="P110" s="107">
        <f t="shared" si="167"/>
        <v>0</v>
      </c>
      <c r="Q110" s="107">
        <f t="shared" si="157"/>
        <v>1200</v>
      </c>
      <c r="R110" s="96"/>
      <c r="S110" s="96">
        <f t="shared" si="158"/>
        <v>660</v>
      </c>
      <c r="T110" s="107">
        <f t="shared" si="159"/>
        <v>0</v>
      </c>
      <c r="FH110" s="71">
        <v>20</v>
      </c>
      <c r="FI110" s="300">
        <v>0</v>
      </c>
      <c r="FJ110" s="300">
        <v>0</v>
      </c>
      <c r="FK110" s="300">
        <v>0</v>
      </c>
      <c r="FL110" s="300">
        <v>0</v>
      </c>
      <c r="FM110" s="300">
        <v>0</v>
      </c>
      <c r="FN110" s="300">
        <v>0</v>
      </c>
      <c r="FO110" s="300">
        <v>0</v>
      </c>
      <c r="FP110" s="300">
        <v>0</v>
      </c>
      <c r="FQ110" s="300">
        <v>0</v>
      </c>
      <c r="FR110" s="300">
        <v>0</v>
      </c>
      <c r="FS110" s="300">
        <v>0</v>
      </c>
      <c r="FT110" s="300">
        <v>0</v>
      </c>
      <c r="FU110" s="300">
        <v>0</v>
      </c>
      <c r="FV110" s="300">
        <v>0</v>
      </c>
      <c r="FW110" s="300">
        <v>0</v>
      </c>
      <c r="FX110" s="300">
        <v>0</v>
      </c>
      <c r="FY110" s="300">
        <v>0</v>
      </c>
      <c r="FZ110" s="300">
        <v>0</v>
      </c>
      <c r="GA110" s="300">
        <v>0</v>
      </c>
      <c r="GB110" s="300">
        <v>0</v>
      </c>
      <c r="GC110" s="300">
        <v>0</v>
      </c>
      <c r="GD110" s="300">
        <v>0</v>
      </c>
      <c r="GE110" s="300">
        <v>0</v>
      </c>
      <c r="GF110" s="300">
        <v>0</v>
      </c>
      <c r="GG110" s="300">
        <v>0</v>
      </c>
      <c r="GH110" s="300">
        <v>0</v>
      </c>
      <c r="GI110" s="300">
        <v>0</v>
      </c>
      <c r="GJ110" s="300">
        <v>0</v>
      </c>
      <c r="GK110" s="300">
        <v>0</v>
      </c>
      <c r="GL110" s="300">
        <v>0</v>
      </c>
      <c r="GM110" s="300">
        <v>0</v>
      </c>
      <c r="GN110" s="300">
        <v>0</v>
      </c>
      <c r="GO110" s="300">
        <v>0</v>
      </c>
      <c r="GP110" s="300">
        <v>0</v>
      </c>
      <c r="GQ110" s="300">
        <v>0</v>
      </c>
      <c r="GR110" s="300">
        <v>0</v>
      </c>
      <c r="GS110" s="300">
        <v>0</v>
      </c>
      <c r="GT110" s="300">
        <v>0</v>
      </c>
      <c r="GU110" s="300">
        <v>0</v>
      </c>
      <c r="GV110" s="300">
        <v>0</v>
      </c>
      <c r="GW110" s="300">
        <v>0</v>
      </c>
      <c r="GX110" s="300">
        <v>0</v>
      </c>
      <c r="GY110" s="300">
        <v>0</v>
      </c>
      <c r="GZ110" s="300">
        <v>0</v>
      </c>
      <c r="HA110" s="300">
        <v>0</v>
      </c>
      <c r="HB110" s="300">
        <v>0</v>
      </c>
      <c r="HC110" s="300">
        <v>0</v>
      </c>
      <c r="HD110" s="300">
        <v>0</v>
      </c>
      <c r="HE110" s="300">
        <v>0</v>
      </c>
      <c r="HF110" s="300">
        <v>0</v>
      </c>
      <c r="HG110" s="300">
        <v>0</v>
      </c>
      <c r="HH110" s="300">
        <v>0</v>
      </c>
      <c r="HI110" s="300">
        <v>0</v>
      </c>
      <c r="HJ110" s="300">
        <v>0</v>
      </c>
      <c r="HK110" s="300">
        <v>0</v>
      </c>
      <c r="HL110" s="300">
        <v>0</v>
      </c>
      <c r="HM110" s="300">
        <v>0</v>
      </c>
      <c r="HN110" s="300">
        <v>0</v>
      </c>
      <c r="HO110" s="300">
        <v>0</v>
      </c>
      <c r="HP110" s="300">
        <v>0</v>
      </c>
      <c r="HQ110" s="300">
        <v>0</v>
      </c>
      <c r="HR110" s="300">
        <v>0</v>
      </c>
      <c r="HS110" s="300">
        <v>0</v>
      </c>
      <c r="HT110" s="300">
        <v>0</v>
      </c>
      <c r="HU110" s="300">
        <v>0</v>
      </c>
      <c r="HV110" s="300">
        <v>0</v>
      </c>
      <c r="HW110" s="300">
        <v>0</v>
      </c>
      <c r="HX110" s="300">
        <v>0</v>
      </c>
      <c r="HY110" s="300">
        <v>0</v>
      </c>
      <c r="HZ110" s="300">
        <v>0</v>
      </c>
      <c r="IA110" s="300">
        <v>0</v>
      </c>
      <c r="IB110" s="300">
        <v>0</v>
      </c>
      <c r="IC110" s="300">
        <v>0</v>
      </c>
      <c r="ID110" s="300">
        <v>0</v>
      </c>
      <c r="IE110" s="300">
        <f t="shared" si="180"/>
        <v>10</v>
      </c>
      <c r="IF110" s="300">
        <v>0</v>
      </c>
      <c r="IG110" s="300">
        <v>0</v>
      </c>
      <c r="IH110" s="300">
        <v>0</v>
      </c>
      <c r="II110" s="300">
        <v>0</v>
      </c>
      <c r="IJ110" s="300">
        <f t="shared" si="178"/>
        <v>0</v>
      </c>
      <c r="IK110" s="300">
        <f t="shared" si="179"/>
        <v>0</v>
      </c>
      <c r="IL110" s="300">
        <f t="shared" si="140"/>
        <v>0</v>
      </c>
      <c r="IM110" s="300">
        <f t="shared" si="141"/>
        <v>0</v>
      </c>
      <c r="IN110" s="300">
        <f t="shared" si="142"/>
        <v>0</v>
      </c>
      <c r="IO110" s="382">
        <f t="shared" si="142"/>
        <v>0</v>
      </c>
    </row>
    <row r="111" spans="1:243" ht="16.5" thickTop="1">
      <c r="A111" s="9"/>
      <c r="B111" s="420"/>
      <c r="C111" s="424"/>
      <c r="D111" s="333" t="s">
        <v>51</v>
      </c>
      <c r="E111" s="132" t="s">
        <v>52</v>
      </c>
      <c r="G111" s="394" t="s">
        <v>397</v>
      </c>
      <c r="H111" s="91">
        <v>10</v>
      </c>
      <c r="I111" s="498">
        <v>0.15</v>
      </c>
      <c r="J111" s="203"/>
      <c r="K111" s="327" t="s">
        <v>467</v>
      </c>
      <c r="L111" s="329">
        <f t="shared" si="163"/>
        <v>1</v>
      </c>
      <c r="M111" s="317">
        <f t="shared" si="155"/>
        <v>1</v>
      </c>
      <c r="N111" s="329">
        <f t="shared" si="156"/>
        <v>0</v>
      </c>
      <c r="O111" s="329">
        <f t="shared" si="167"/>
        <v>540</v>
      </c>
      <c r="P111" s="329">
        <f t="shared" si="167"/>
        <v>0</v>
      </c>
      <c r="Q111" s="107">
        <f t="shared" si="157"/>
        <v>1200</v>
      </c>
      <c r="R111" s="324"/>
      <c r="S111" s="96">
        <f t="shared" si="158"/>
        <v>660</v>
      </c>
      <c r="T111" s="107">
        <f t="shared" si="159"/>
        <v>0</v>
      </c>
      <c r="FH111" s="75"/>
      <c r="FI111" s="302"/>
      <c r="FJ111" s="96"/>
      <c r="FK111" s="96"/>
      <c r="FL111" s="30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E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</row>
    <row r="112" spans="1:199" ht="16.5" thickBot="1">
      <c r="A112" s="11" t="s">
        <v>63</v>
      </c>
      <c r="B112" s="421" t="s">
        <v>64</v>
      </c>
      <c r="C112" s="421" t="s">
        <v>65</v>
      </c>
      <c r="D112" s="374" t="s">
        <v>66</v>
      </c>
      <c r="E112" s="295" t="s">
        <v>66</v>
      </c>
      <c r="G112" s="394" t="s">
        <v>399</v>
      </c>
      <c r="H112" s="91">
        <v>10</v>
      </c>
      <c r="I112" s="498">
        <v>0.15</v>
      </c>
      <c r="J112" s="203"/>
      <c r="K112" s="332" t="s">
        <v>468</v>
      </c>
      <c r="L112" s="302">
        <f aca="true" t="shared" si="181" ref="L112:Q112">SUM(L96:L111)</f>
        <v>1200</v>
      </c>
      <c r="M112" s="302">
        <f t="shared" si="181"/>
        <v>1188</v>
      </c>
      <c r="N112" s="302">
        <f t="shared" si="181"/>
        <v>12</v>
      </c>
      <c r="O112" s="82">
        <f t="shared" si="181"/>
        <v>1001166.6666666666</v>
      </c>
      <c r="P112" s="82">
        <f t="shared" si="181"/>
        <v>10130</v>
      </c>
      <c r="Q112" s="336">
        <f t="shared" si="181"/>
        <v>1425600</v>
      </c>
      <c r="R112" s="15"/>
      <c r="S112" s="336">
        <f>SUM(S96:S111)</f>
        <v>424433.3333333334</v>
      </c>
      <c r="T112" s="336">
        <f>SUM(T96:T111)</f>
        <v>-10130</v>
      </c>
      <c r="FH112" s="58" t="s">
        <v>469</v>
      </c>
      <c r="FM112" s="89"/>
      <c r="FN112" s="89"/>
      <c r="FO112" s="89"/>
      <c r="FP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</row>
    <row r="113" spans="1:232" ht="16.5" thickTop="1">
      <c r="A113" s="480">
        <v>500</v>
      </c>
      <c r="B113" s="412" t="s">
        <v>470</v>
      </c>
      <c r="C113" s="413" t="s">
        <v>454</v>
      </c>
      <c r="D113" s="487">
        <v>110</v>
      </c>
      <c r="E113" s="371">
        <f aca="true" t="shared" si="182" ref="E113:E118">D113*A113</f>
        <v>55000</v>
      </c>
      <c r="G113" s="394" t="s">
        <v>402</v>
      </c>
      <c r="H113" s="91">
        <v>10</v>
      </c>
      <c r="I113" s="498">
        <v>0.15</v>
      </c>
      <c r="J113" s="203"/>
      <c r="K113" s="119"/>
      <c r="L113" s="120"/>
      <c r="M113" s="120"/>
      <c r="N113" s="120"/>
      <c r="O113" s="120"/>
      <c r="P113" s="120"/>
      <c r="Q113" s="354" t="s">
        <v>471</v>
      </c>
      <c r="R113" s="345"/>
      <c r="S113" s="345"/>
      <c r="T113" s="346"/>
      <c r="U113" s="199"/>
      <c r="Y113" s="169"/>
      <c r="FH113" s="59"/>
      <c r="FI113" s="84" t="s">
        <v>322</v>
      </c>
      <c r="FJ113" s="84" t="s">
        <v>19</v>
      </c>
      <c r="FK113" s="84" t="s">
        <v>19</v>
      </c>
      <c r="FL113" s="84" t="s">
        <v>186</v>
      </c>
      <c r="FM113" s="84" t="s">
        <v>186</v>
      </c>
      <c r="FN113" s="84" t="s">
        <v>187</v>
      </c>
      <c r="FO113" s="84" t="s">
        <v>188</v>
      </c>
      <c r="FP113" s="84" t="s">
        <v>323</v>
      </c>
      <c r="FQ113" s="84" t="s">
        <v>19</v>
      </c>
      <c r="FR113" s="84" t="s">
        <v>19</v>
      </c>
      <c r="FS113" s="84" t="s">
        <v>186</v>
      </c>
      <c r="FT113" s="84" t="s">
        <v>186</v>
      </c>
      <c r="FU113" s="84" t="s">
        <v>187</v>
      </c>
      <c r="FV113" s="84" t="s">
        <v>188</v>
      </c>
      <c r="FW113" s="84" t="s">
        <v>324</v>
      </c>
      <c r="FX113" s="84" t="s">
        <v>19</v>
      </c>
      <c r="FY113" s="84" t="s">
        <v>19</v>
      </c>
      <c r="FZ113" s="84" t="s">
        <v>186</v>
      </c>
      <c r="GA113" s="84" t="s">
        <v>186</v>
      </c>
      <c r="GB113" s="84" t="s">
        <v>187</v>
      </c>
      <c r="GC113" s="84" t="s">
        <v>188</v>
      </c>
      <c r="GD113" s="84" t="s">
        <v>325</v>
      </c>
      <c r="GE113" s="84" t="s">
        <v>19</v>
      </c>
      <c r="GF113" s="84" t="s">
        <v>19</v>
      </c>
      <c r="GG113" s="84" t="s">
        <v>186</v>
      </c>
      <c r="GH113" s="84" t="s">
        <v>186</v>
      </c>
      <c r="GI113" s="84" t="s">
        <v>187</v>
      </c>
      <c r="GJ113" s="84" t="s">
        <v>188</v>
      </c>
      <c r="GK113" s="84" t="s">
        <v>326</v>
      </c>
      <c r="GL113" s="84" t="s">
        <v>19</v>
      </c>
      <c r="GM113" s="84" t="s">
        <v>19</v>
      </c>
      <c r="GN113" s="84" t="s">
        <v>186</v>
      </c>
      <c r="GO113" s="84" t="s">
        <v>186</v>
      </c>
      <c r="GP113" s="84" t="s">
        <v>187</v>
      </c>
      <c r="GQ113" s="84" t="s">
        <v>188</v>
      </c>
      <c r="GR113" s="84" t="s">
        <v>327</v>
      </c>
      <c r="GS113" s="84" t="s">
        <v>19</v>
      </c>
      <c r="GT113" s="84" t="s">
        <v>19</v>
      </c>
      <c r="GU113" s="84" t="s">
        <v>186</v>
      </c>
      <c r="GV113" s="84" t="s">
        <v>186</v>
      </c>
      <c r="GW113" s="84" t="s">
        <v>187</v>
      </c>
      <c r="GX113" s="84" t="s">
        <v>188</v>
      </c>
      <c r="GY113" s="84" t="s">
        <v>328</v>
      </c>
      <c r="GZ113" s="84" t="s">
        <v>19</v>
      </c>
      <c r="HA113" s="84" t="s">
        <v>19</v>
      </c>
      <c r="HB113" s="84" t="s">
        <v>186</v>
      </c>
      <c r="HC113" s="84" t="s">
        <v>186</v>
      </c>
      <c r="HD113" s="84" t="s">
        <v>187</v>
      </c>
      <c r="HE113" s="84" t="s">
        <v>188</v>
      </c>
      <c r="HF113" s="84" t="s">
        <v>329</v>
      </c>
      <c r="HG113" s="84" t="s">
        <v>19</v>
      </c>
      <c r="HH113" s="84" t="s">
        <v>19</v>
      </c>
      <c r="HI113" s="84" t="s">
        <v>186</v>
      </c>
      <c r="HJ113" s="84" t="s">
        <v>186</v>
      </c>
      <c r="HK113" s="84" t="s">
        <v>187</v>
      </c>
      <c r="HL113" s="84" t="s">
        <v>188</v>
      </c>
      <c r="HM113" s="84" t="s">
        <v>330</v>
      </c>
      <c r="HN113" s="84" t="s">
        <v>19</v>
      </c>
      <c r="HO113" s="84" t="s">
        <v>19</v>
      </c>
      <c r="HP113" s="84" t="s">
        <v>186</v>
      </c>
      <c r="HQ113" s="84" t="s">
        <v>186</v>
      </c>
      <c r="HR113" s="84" t="s">
        <v>187</v>
      </c>
      <c r="HS113" s="84" t="s">
        <v>188</v>
      </c>
      <c r="HT113" s="7"/>
      <c r="HU113" s="7"/>
      <c r="HV113" s="84" t="s">
        <v>19</v>
      </c>
      <c r="HW113" s="84" t="s">
        <v>19</v>
      </c>
      <c r="HX113" s="303" t="s">
        <v>19</v>
      </c>
    </row>
    <row r="114" spans="1:232" ht="15.75">
      <c r="A114" s="480">
        <v>1</v>
      </c>
      <c r="B114" s="412" t="s">
        <v>472</v>
      </c>
      <c r="C114" s="413" t="s">
        <v>209</v>
      </c>
      <c r="D114" s="485">
        <v>22500</v>
      </c>
      <c r="E114" s="458">
        <f t="shared" si="182"/>
        <v>22500</v>
      </c>
      <c r="G114" s="394" t="s">
        <v>403</v>
      </c>
      <c r="H114" s="91">
        <v>10</v>
      </c>
      <c r="I114" s="498">
        <v>0.15</v>
      </c>
      <c r="J114" s="203"/>
      <c r="K114" s="114"/>
      <c r="L114" s="115"/>
      <c r="M114" s="115"/>
      <c r="N114" s="115"/>
      <c r="O114" s="115"/>
      <c r="P114" s="342"/>
      <c r="Q114" s="355" t="s">
        <v>413</v>
      </c>
      <c r="R114" s="343"/>
      <c r="S114" s="343"/>
      <c r="T114" s="347"/>
      <c r="U114" s="199"/>
      <c r="Y114" s="169"/>
      <c r="FH114" s="62"/>
      <c r="FI114" s="86" t="s">
        <v>127</v>
      </c>
      <c r="FJ114" s="86" t="s">
        <v>204</v>
      </c>
      <c r="FK114" s="86" t="s">
        <v>205</v>
      </c>
      <c r="FL114" s="86" t="s">
        <v>206</v>
      </c>
      <c r="FM114" s="86" t="s">
        <v>206</v>
      </c>
      <c r="FN114" s="86" t="s">
        <v>207</v>
      </c>
      <c r="FO114" s="86" t="s">
        <v>207</v>
      </c>
      <c r="FP114" s="86" t="s">
        <v>127</v>
      </c>
      <c r="FQ114" s="86" t="s">
        <v>204</v>
      </c>
      <c r="FR114" s="86" t="s">
        <v>205</v>
      </c>
      <c r="FS114" s="86" t="s">
        <v>206</v>
      </c>
      <c r="FT114" s="86" t="s">
        <v>206</v>
      </c>
      <c r="FU114" s="86" t="s">
        <v>207</v>
      </c>
      <c r="FV114" s="86" t="s">
        <v>207</v>
      </c>
      <c r="FW114" s="86" t="s">
        <v>127</v>
      </c>
      <c r="FX114" s="86" t="s">
        <v>204</v>
      </c>
      <c r="FY114" s="86" t="s">
        <v>205</v>
      </c>
      <c r="FZ114" s="86" t="s">
        <v>206</v>
      </c>
      <c r="GA114" s="86" t="s">
        <v>206</v>
      </c>
      <c r="GB114" s="86" t="s">
        <v>207</v>
      </c>
      <c r="GC114" s="86" t="s">
        <v>207</v>
      </c>
      <c r="GD114" s="86" t="s">
        <v>127</v>
      </c>
      <c r="GE114" s="86" t="s">
        <v>204</v>
      </c>
      <c r="GF114" s="86" t="s">
        <v>205</v>
      </c>
      <c r="GG114" s="86" t="s">
        <v>206</v>
      </c>
      <c r="GH114" s="86" t="s">
        <v>206</v>
      </c>
      <c r="GI114" s="86" t="s">
        <v>207</v>
      </c>
      <c r="GJ114" s="86" t="s">
        <v>207</v>
      </c>
      <c r="GK114" s="86" t="s">
        <v>127</v>
      </c>
      <c r="GL114" s="86" t="s">
        <v>204</v>
      </c>
      <c r="GM114" s="86" t="s">
        <v>205</v>
      </c>
      <c r="GN114" s="86" t="s">
        <v>206</v>
      </c>
      <c r="GO114" s="86" t="s">
        <v>206</v>
      </c>
      <c r="GP114" s="86" t="s">
        <v>207</v>
      </c>
      <c r="GQ114" s="86" t="s">
        <v>207</v>
      </c>
      <c r="GR114" s="86" t="s">
        <v>127</v>
      </c>
      <c r="GS114" s="86" t="s">
        <v>204</v>
      </c>
      <c r="GT114" s="86" t="s">
        <v>205</v>
      </c>
      <c r="GU114" s="86" t="s">
        <v>206</v>
      </c>
      <c r="GV114" s="86" t="s">
        <v>206</v>
      </c>
      <c r="GW114" s="86" t="s">
        <v>207</v>
      </c>
      <c r="GX114" s="86" t="s">
        <v>207</v>
      </c>
      <c r="GY114" s="86" t="s">
        <v>127</v>
      </c>
      <c r="GZ114" s="86" t="s">
        <v>204</v>
      </c>
      <c r="HA114" s="86" t="s">
        <v>205</v>
      </c>
      <c r="HB114" s="86" t="s">
        <v>206</v>
      </c>
      <c r="HC114" s="86" t="s">
        <v>206</v>
      </c>
      <c r="HD114" s="86" t="s">
        <v>207</v>
      </c>
      <c r="HE114" s="86" t="s">
        <v>207</v>
      </c>
      <c r="HF114" s="86" t="s">
        <v>127</v>
      </c>
      <c r="HG114" s="86" t="s">
        <v>204</v>
      </c>
      <c r="HH114" s="86" t="s">
        <v>205</v>
      </c>
      <c r="HI114" s="86" t="s">
        <v>206</v>
      </c>
      <c r="HJ114" s="86" t="s">
        <v>206</v>
      </c>
      <c r="HK114" s="86" t="s">
        <v>207</v>
      </c>
      <c r="HL114" s="86" t="s">
        <v>207</v>
      </c>
      <c r="HM114" s="86" t="s">
        <v>127</v>
      </c>
      <c r="HN114" s="86" t="s">
        <v>204</v>
      </c>
      <c r="HO114" s="86" t="s">
        <v>205</v>
      </c>
      <c r="HP114" s="86" t="s">
        <v>206</v>
      </c>
      <c r="HQ114" s="86" t="s">
        <v>206</v>
      </c>
      <c r="HR114" s="86" t="s">
        <v>207</v>
      </c>
      <c r="HS114" s="86" t="s">
        <v>207</v>
      </c>
      <c r="HT114" s="86" t="s">
        <v>19</v>
      </c>
      <c r="HU114" s="86" t="s">
        <v>19</v>
      </c>
      <c r="HV114" s="86" t="s">
        <v>207</v>
      </c>
      <c r="HW114" s="86" t="s">
        <v>207</v>
      </c>
      <c r="HX114" s="87" t="s">
        <v>335</v>
      </c>
    </row>
    <row r="115" spans="1:232" ht="16.5" thickBot="1">
      <c r="A115" s="480">
        <v>1</v>
      </c>
      <c r="B115" s="412" t="s">
        <v>473</v>
      </c>
      <c r="C115" s="413" t="s">
        <v>209</v>
      </c>
      <c r="D115" s="485">
        <v>7500</v>
      </c>
      <c r="E115" s="458">
        <f t="shared" si="182"/>
        <v>7500</v>
      </c>
      <c r="G115" s="399" t="s">
        <v>389</v>
      </c>
      <c r="H115" s="91" t="s">
        <v>464</v>
      </c>
      <c r="I115" s="498">
        <v>0.5</v>
      </c>
      <c r="J115" s="203"/>
      <c r="K115" s="115"/>
      <c r="L115" s="115"/>
      <c r="M115" s="115"/>
      <c r="N115" s="115"/>
      <c r="O115" s="115"/>
      <c r="P115" s="342"/>
      <c r="Q115" s="356" t="s">
        <v>474</v>
      </c>
      <c r="R115" s="344"/>
      <c r="S115" s="344"/>
      <c r="T115" s="348"/>
      <c r="U115" s="339"/>
      <c r="Y115" s="169"/>
      <c r="FH115" s="65"/>
      <c r="FI115" s="86" t="s">
        <v>216</v>
      </c>
      <c r="FJ115" s="86" t="s">
        <v>27</v>
      </c>
      <c r="FK115" s="86" t="s">
        <v>27</v>
      </c>
      <c r="FL115" s="86" t="s">
        <v>217</v>
      </c>
      <c r="FM115" s="86" t="s">
        <v>217</v>
      </c>
      <c r="FN115" s="86" t="s">
        <v>218</v>
      </c>
      <c r="FO115" s="86" t="s">
        <v>219</v>
      </c>
      <c r="FP115" s="86" t="s">
        <v>216</v>
      </c>
      <c r="FQ115" s="86" t="s">
        <v>27</v>
      </c>
      <c r="FR115" s="86" t="s">
        <v>27</v>
      </c>
      <c r="FS115" s="86" t="s">
        <v>217</v>
      </c>
      <c r="FT115" s="86" t="s">
        <v>217</v>
      </c>
      <c r="FU115" s="86" t="s">
        <v>218</v>
      </c>
      <c r="FV115" s="86" t="s">
        <v>219</v>
      </c>
      <c r="FW115" s="86" t="s">
        <v>216</v>
      </c>
      <c r="FX115" s="86" t="s">
        <v>27</v>
      </c>
      <c r="FY115" s="86" t="s">
        <v>27</v>
      </c>
      <c r="FZ115" s="86" t="s">
        <v>217</v>
      </c>
      <c r="GA115" s="86" t="s">
        <v>217</v>
      </c>
      <c r="GB115" s="86" t="s">
        <v>218</v>
      </c>
      <c r="GC115" s="86" t="s">
        <v>219</v>
      </c>
      <c r="GD115" s="86" t="s">
        <v>216</v>
      </c>
      <c r="GE115" s="86" t="s">
        <v>27</v>
      </c>
      <c r="GF115" s="86" t="s">
        <v>27</v>
      </c>
      <c r="GG115" s="86" t="s">
        <v>217</v>
      </c>
      <c r="GH115" s="86" t="s">
        <v>217</v>
      </c>
      <c r="GI115" s="86" t="s">
        <v>218</v>
      </c>
      <c r="GJ115" s="86" t="s">
        <v>219</v>
      </c>
      <c r="GK115" s="86" t="s">
        <v>216</v>
      </c>
      <c r="GL115" s="86" t="s">
        <v>27</v>
      </c>
      <c r="GM115" s="86" t="s">
        <v>27</v>
      </c>
      <c r="GN115" s="86" t="s">
        <v>217</v>
      </c>
      <c r="GO115" s="86" t="s">
        <v>217</v>
      </c>
      <c r="GP115" s="86" t="s">
        <v>218</v>
      </c>
      <c r="GQ115" s="86" t="s">
        <v>219</v>
      </c>
      <c r="GR115" s="86" t="s">
        <v>216</v>
      </c>
      <c r="GS115" s="86" t="s">
        <v>27</v>
      </c>
      <c r="GT115" s="86" t="s">
        <v>27</v>
      </c>
      <c r="GU115" s="86" t="s">
        <v>217</v>
      </c>
      <c r="GV115" s="86" t="s">
        <v>217</v>
      </c>
      <c r="GW115" s="86" t="s">
        <v>218</v>
      </c>
      <c r="GX115" s="86" t="s">
        <v>219</v>
      </c>
      <c r="GY115" s="86" t="s">
        <v>216</v>
      </c>
      <c r="GZ115" s="86" t="s">
        <v>27</v>
      </c>
      <c r="HA115" s="86" t="s">
        <v>27</v>
      </c>
      <c r="HB115" s="86" t="s">
        <v>217</v>
      </c>
      <c r="HC115" s="86" t="s">
        <v>217</v>
      </c>
      <c r="HD115" s="86" t="s">
        <v>218</v>
      </c>
      <c r="HE115" s="86" t="s">
        <v>219</v>
      </c>
      <c r="HF115" s="86" t="s">
        <v>216</v>
      </c>
      <c r="HG115" s="86" t="s">
        <v>27</v>
      </c>
      <c r="HH115" s="86" t="s">
        <v>27</v>
      </c>
      <c r="HI115" s="86" t="s">
        <v>217</v>
      </c>
      <c r="HJ115" s="86" t="s">
        <v>217</v>
      </c>
      <c r="HK115" s="86" t="s">
        <v>218</v>
      </c>
      <c r="HL115" s="86" t="s">
        <v>219</v>
      </c>
      <c r="HM115" s="86" t="s">
        <v>216</v>
      </c>
      <c r="HN115" s="86" t="s">
        <v>27</v>
      </c>
      <c r="HO115" s="86" t="s">
        <v>27</v>
      </c>
      <c r="HP115" s="86" t="s">
        <v>217</v>
      </c>
      <c r="HQ115" s="86" t="s">
        <v>217</v>
      </c>
      <c r="HR115" s="86" t="s">
        <v>218</v>
      </c>
      <c r="HS115" s="86" t="s">
        <v>219</v>
      </c>
      <c r="HT115" s="86" t="s">
        <v>27</v>
      </c>
      <c r="HU115" s="86" t="s">
        <v>206</v>
      </c>
      <c r="HV115" s="86" t="s">
        <v>221</v>
      </c>
      <c r="HW115" s="86" t="s">
        <v>222</v>
      </c>
      <c r="HX115" s="87" t="s">
        <v>341</v>
      </c>
    </row>
    <row r="116" spans="1:232" ht="17.25" thickBot="1" thickTop="1">
      <c r="A116" s="480">
        <v>1</v>
      </c>
      <c r="B116" s="412" t="s">
        <v>475</v>
      </c>
      <c r="C116" s="413" t="s">
        <v>209</v>
      </c>
      <c r="D116" s="485">
        <v>18500</v>
      </c>
      <c r="E116" s="458">
        <f t="shared" si="182"/>
        <v>18500</v>
      </c>
      <c r="G116" s="56" t="s">
        <v>476</v>
      </c>
      <c r="H116" s="380"/>
      <c r="I116" s="452"/>
      <c r="K116" s="115"/>
      <c r="L116" s="115"/>
      <c r="M116" s="115"/>
      <c r="N116" s="115"/>
      <c r="O116" s="115"/>
      <c r="P116" s="342"/>
      <c r="Q116" s="349" t="s">
        <v>477</v>
      </c>
      <c r="R116" s="82"/>
      <c r="S116" s="82"/>
      <c r="T116" s="158"/>
      <c r="U116" s="339"/>
      <c r="Y116" s="169"/>
      <c r="FH116" s="66" t="s">
        <v>69</v>
      </c>
      <c r="FI116" s="88" t="s">
        <v>230</v>
      </c>
      <c r="FJ116" s="88" t="s">
        <v>220</v>
      </c>
      <c r="FK116" s="88" t="s">
        <v>220</v>
      </c>
      <c r="FL116" s="88" t="s">
        <v>232</v>
      </c>
      <c r="FM116" s="88" t="s">
        <v>233</v>
      </c>
      <c r="FN116" s="88" t="s">
        <v>233</v>
      </c>
      <c r="FO116" s="88" t="s">
        <v>232</v>
      </c>
      <c r="FP116" s="88" t="s">
        <v>230</v>
      </c>
      <c r="FQ116" s="88" t="s">
        <v>220</v>
      </c>
      <c r="FR116" s="88" t="s">
        <v>220</v>
      </c>
      <c r="FS116" s="88" t="s">
        <v>232</v>
      </c>
      <c r="FT116" s="88" t="s">
        <v>233</v>
      </c>
      <c r="FU116" s="88" t="s">
        <v>233</v>
      </c>
      <c r="FV116" s="88" t="s">
        <v>232</v>
      </c>
      <c r="FW116" s="88" t="s">
        <v>230</v>
      </c>
      <c r="FX116" s="88" t="s">
        <v>220</v>
      </c>
      <c r="FY116" s="88" t="s">
        <v>220</v>
      </c>
      <c r="FZ116" s="88" t="s">
        <v>232</v>
      </c>
      <c r="GA116" s="88" t="s">
        <v>233</v>
      </c>
      <c r="GB116" s="88" t="s">
        <v>233</v>
      </c>
      <c r="GC116" s="88" t="s">
        <v>232</v>
      </c>
      <c r="GD116" s="88" t="s">
        <v>230</v>
      </c>
      <c r="GE116" s="88" t="s">
        <v>220</v>
      </c>
      <c r="GF116" s="88" t="s">
        <v>220</v>
      </c>
      <c r="GG116" s="88" t="s">
        <v>232</v>
      </c>
      <c r="GH116" s="88" t="s">
        <v>233</v>
      </c>
      <c r="GI116" s="88" t="s">
        <v>233</v>
      </c>
      <c r="GJ116" s="88" t="s">
        <v>232</v>
      </c>
      <c r="GK116" s="88" t="s">
        <v>230</v>
      </c>
      <c r="GL116" s="88" t="s">
        <v>220</v>
      </c>
      <c r="GM116" s="88" t="s">
        <v>220</v>
      </c>
      <c r="GN116" s="88" t="s">
        <v>232</v>
      </c>
      <c r="GO116" s="88" t="s">
        <v>233</v>
      </c>
      <c r="GP116" s="88" t="s">
        <v>233</v>
      </c>
      <c r="GQ116" s="88" t="s">
        <v>232</v>
      </c>
      <c r="GR116" s="88" t="s">
        <v>230</v>
      </c>
      <c r="GS116" s="88" t="s">
        <v>220</v>
      </c>
      <c r="GT116" s="88" t="s">
        <v>220</v>
      </c>
      <c r="GU116" s="88" t="s">
        <v>232</v>
      </c>
      <c r="GV116" s="88" t="s">
        <v>233</v>
      </c>
      <c r="GW116" s="88" t="s">
        <v>233</v>
      </c>
      <c r="GX116" s="88" t="s">
        <v>232</v>
      </c>
      <c r="GY116" s="88" t="s">
        <v>230</v>
      </c>
      <c r="GZ116" s="88" t="s">
        <v>220</v>
      </c>
      <c r="HA116" s="88" t="s">
        <v>220</v>
      </c>
      <c r="HB116" s="88" t="s">
        <v>232</v>
      </c>
      <c r="HC116" s="88" t="s">
        <v>233</v>
      </c>
      <c r="HD116" s="88" t="s">
        <v>233</v>
      </c>
      <c r="HE116" s="88" t="s">
        <v>232</v>
      </c>
      <c r="HF116" s="88" t="s">
        <v>230</v>
      </c>
      <c r="HG116" s="88" t="s">
        <v>220</v>
      </c>
      <c r="HH116" s="88" t="s">
        <v>220</v>
      </c>
      <c r="HI116" s="88" t="s">
        <v>232</v>
      </c>
      <c r="HJ116" s="88" t="s">
        <v>233</v>
      </c>
      <c r="HK116" s="88" t="s">
        <v>233</v>
      </c>
      <c r="HL116" s="88" t="s">
        <v>232</v>
      </c>
      <c r="HM116" s="88" t="s">
        <v>230</v>
      </c>
      <c r="HN116" s="88" t="s">
        <v>220</v>
      </c>
      <c r="HO116" s="88" t="s">
        <v>220</v>
      </c>
      <c r="HP116" s="88" t="s">
        <v>232</v>
      </c>
      <c r="HQ116" s="88" t="s">
        <v>233</v>
      </c>
      <c r="HR116" s="88" t="s">
        <v>233</v>
      </c>
      <c r="HS116" s="88" t="s">
        <v>232</v>
      </c>
      <c r="HT116" s="88" t="s">
        <v>220</v>
      </c>
      <c r="HU116" s="88" t="s">
        <v>27</v>
      </c>
      <c r="HV116" s="88" t="s">
        <v>220</v>
      </c>
      <c r="HW116" s="88" t="s">
        <v>220</v>
      </c>
      <c r="HX116" s="291" t="s">
        <v>344</v>
      </c>
    </row>
    <row r="117" spans="1:232" ht="16.5" thickTop="1">
      <c r="A117" s="480">
        <v>1</v>
      </c>
      <c r="B117" s="412" t="s">
        <v>478</v>
      </c>
      <c r="C117" s="413" t="s">
        <v>209</v>
      </c>
      <c r="D117" s="485">
        <v>27500</v>
      </c>
      <c r="E117" s="458">
        <f t="shared" si="182"/>
        <v>27500</v>
      </c>
      <c r="G117" s="400" t="s">
        <v>479</v>
      </c>
      <c r="H117" s="522" t="s">
        <v>101</v>
      </c>
      <c r="I117" s="453"/>
      <c r="K117" s="115"/>
      <c r="L117" s="115"/>
      <c r="M117" s="115"/>
      <c r="N117" s="115"/>
      <c r="O117" s="115"/>
      <c r="P117" s="115"/>
      <c r="Q117" s="349"/>
      <c r="R117" s="341"/>
      <c r="S117" s="19" t="s">
        <v>480</v>
      </c>
      <c r="T117" s="350">
        <f>T112+S112</f>
        <v>414303.3333333334</v>
      </c>
      <c r="U117" s="339"/>
      <c r="Y117" s="169"/>
      <c r="FH117" s="59">
        <v>1</v>
      </c>
      <c r="FI117" s="299">
        <v>0</v>
      </c>
      <c r="FJ117" s="10">
        <v>0</v>
      </c>
      <c r="FK117" s="10">
        <v>0</v>
      </c>
      <c r="FL117" s="10">
        <v>0</v>
      </c>
      <c r="FM117" s="10">
        <v>0</v>
      </c>
      <c r="FN117" s="10">
        <v>0</v>
      </c>
      <c r="FO117" s="10">
        <v>0</v>
      </c>
      <c r="FP117" s="299">
        <v>0</v>
      </c>
      <c r="FQ117" s="10">
        <v>0</v>
      </c>
      <c r="FR117" s="10">
        <v>0</v>
      </c>
      <c r="FS117" s="10">
        <v>0</v>
      </c>
      <c r="FT117" s="10">
        <v>0</v>
      </c>
      <c r="FU117" s="10">
        <v>0</v>
      </c>
      <c r="FV117" s="10">
        <v>0</v>
      </c>
      <c r="FW117" s="299">
        <v>0</v>
      </c>
      <c r="FX117" s="10">
        <v>0</v>
      </c>
      <c r="FY117" s="10">
        <v>0</v>
      </c>
      <c r="FZ117" s="10">
        <v>0</v>
      </c>
      <c r="GA117" s="10">
        <v>0</v>
      </c>
      <c r="GB117" s="10">
        <v>0</v>
      </c>
      <c r="GC117" s="10">
        <v>0</v>
      </c>
      <c r="GD117" s="299">
        <v>0</v>
      </c>
      <c r="GE117" s="10">
        <v>0</v>
      </c>
      <c r="GF117" s="10">
        <v>0</v>
      </c>
      <c r="GG117" s="10">
        <v>0</v>
      </c>
      <c r="GH117" s="10">
        <v>0</v>
      </c>
      <c r="GI117" s="10">
        <v>0</v>
      </c>
      <c r="GJ117" s="10">
        <v>0</v>
      </c>
      <c r="GK117" s="299">
        <v>0</v>
      </c>
      <c r="GL117" s="10">
        <v>0</v>
      </c>
      <c r="GM117" s="10">
        <v>0</v>
      </c>
      <c r="GN117" s="10">
        <v>0</v>
      </c>
      <c r="GO117" s="10">
        <v>0</v>
      </c>
      <c r="GP117" s="10">
        <v>0</v>
      </c>
      <c r="GQ117" s="10">
        <v>0</v>
      </c>
      <c r="GR117" s="299">
        <v>0</v>
      </c>
      <c r="GS117" s="10">
        <v>0</v>
      </c>
      <c r="GT117" s="10">
        <v>0</v>
      </c>
      <c r="GU117" s="10">
        <v>0</v>
      </c>
      <c r="GV117" s="10">
        <v>0</v>
      </c>
      <c r="GW117" s="10">
        <v>0</v>
      </c>
      <c r="GX117" s="10">
        <v>0</v>
      </c>
      <c r="GY117" s="299">
        <v>0</v>
      </c>
      <c r="GZ117" s="10">
        <v>0</v>
      </c>
      <c r="HA117" s="10">
        <v>0</v>
      </c>
      <c r="HB117" s="10">
        <v>0</v>
      </c>
      <c r="HC117" s="10">
        <v>0</v>
      </c>
      <c r="HD117" s="10">
        <v>0</v>
      </c>
      <c r="HE117" s="10">
        <v>0</v>
      </c>
      <c r="HF117" s="299">
        <v>0</v>
      </c>
      <c r="HG117" s="10">
        <v>0</v>
      </c>
      <c r="HH117" s="10">
        <v>0</v>
      </c>
      <c r="HI117" s="10">
        <v>0</v>
      </c>
      <c r="HJ117" s="10">
        <v>0</v>
      </c>
      <c r="HK117" s="10">
        <v>0</v>
      </c>
      <c r="HL117" s="10">
        <v>0</v>
      </c>
      <c r="HM117" s="299">
        <v>0</v>
      </c>
      <c r="HN117" s="10">
        <v>0</v>
      </c>
      <c r="HO117" s="10">
        <v>0</v>
      </c>
      <c r="HP117" s="10">
        <v>0</v>
      </c>
      <c r="HQ117" s="10">
        <v>0</v>
      </c>
      <c r="HR117" s="10">
        <v>0</v>
      </c>
      <c r="HS117" s="10">
        <v>0</v>
      </c>
      <c r="HT117" s="10">
        <f aca="true" t="shared" si="183" ref="HT117:HT136">IL91+FJ117+FK117+FQ117+FR117+FX117+FY117+GE117+GF117+GL117+GM117+GS117+GT117+GZ117+HA117+HG117+HH117+HN117+HO117</f>
        <v>584000</v>
      </c>
      <c r="HU117" s="10">
        <f aca="true" t="shared" si="184" ref="HU117:HU136">IM91+FL117+FM117+FS117+FT117+FZ117+GA117+GG117+GH117+GN117+GO117+GU117+GV117+HB117+HC117+HI117+HJ117+HP117+HQ117</f>
        <v>397119.99999999994</v>
      </c>
      <c r="HV117" s="10">
        <f aca="true" t="shared" si="185" ref="HV117:HV136">IN91+FN117+FU117+GB117+GI117+GP117+GW117+HD117+HK117+HR117</f>
        <v>6480</v>
      </c>
      <c r="HW117" s="383">
        <f aca="true" t="shared" si="186" ref="HW117:HW136">FO117+FV117+GC117+GJ117+GQ117+GX117+HE117+HL117+HS117+IO91</f>
        <v>0</v>
      </c>
      <c r="HX117" s="70">
        <f aca="true" t="shared" si="187" ref="HX117:HX136">HT117+HU117+HV117-HW117</f>
        <v>987600</v>
      </c>
    </row>
    <row r="118" spans="1:232" ht="16.5" thickBot="1">
      <c r="A118" s="481">
        <v>1</v>
      </c>
      <c r="B118" s="414" t="s">
        <v>481</v>
      </c>
      <c r="C118" s="415" t="s">
        <v>209</v>
      </c>
      <c r="D118" s="486">
        <v>12500</v>
      </c>
      <c r="E118" s="459">
        <f t="shared" si="182"/>
        <v>12500</v>
      </c>
      <c r="G118" s="30"/>
      <c r="H118" s="448" t="s">
        <v>482</v>
      </c>
      <c r="I118" s="140" t="s">
        <v>483</v>
      </c>
      <c r="K118" s="115"/>
      <c r="L118" s="115"/>
      <c r="M118" s="115"/>
      <c r="N118" s="115"/>
      <c r="O118" s="115"/>
      <c r="P118" s="115"/>
      <c r="Q118" s="349"/>
      <c r="R118" s="341"/>
      <c r="S118" s="19" t="s">
        <v>484</v>
      </c>
      <c r="T118" s="350">
        <f>Q112</f>
        <v>1425600</v>
      </c>
      <c r="U118" s="340"/>
      <c r="Y118" s="169"/>
      <c r="FH118" s="62">
        <v>2</v>
      </c>
      <c r="FI118" s="107">
        <v>0</v>
      </c>
      <c r="FJ118" s="107">
        <v>0</v>
      </c>
      <c r="FK118" s="107">
        <v>0</v>
      </c>
      <c r="FL118" s="107">
        <v>0</v>
      </c>
      <c r="FM118" s="107">
        <v>0</v>
      </c>
      <c r="FN118" s="107">
        <v>0</v>
      </c>
      <c r="FO118" s="107">
        <v>0</v>
      </c>
      <c r="FP118" s="107">
        <v>0</v>
      </c>
      <c r="FQ118" s="107">
        <v>0</v>
      </c>
      <c r="FR118" s="107">
        <v>0</v>
      </c>
      <c r="FS118" s="107">
        <v>0</v>
      </c>
      <c r="FT118" s="107">
        <v>0</v>
      </c>
      <c r="FU118" s="107">
        <v>0</v>
      </c>
      <c r="FV118" s="107">
        <v>0</v>
      </c>
      <c r="FW118" s="107">
        <v>0</v>
      </c>
      <c r="FX118" s="107">
        <v>0</v>
      </c>
      <c r="FY118" s="107">
        <v>0</v>
      </c>
      <c r="FZ118" s="107">
        <v>0</v>
      </c>
      <c r="GA118" s="107">
        <v>0</v>
      </c>
      <c r="GB118" s="107">
        <v>0</v>
      </c>
      <c r="GC118" s="107">
        <v>0</v>
      </c>
      <c r="GD118" s="107">
        <v>0</v>
      </c>
      <c r="GE118" s="107">
        <v>0</v>
      </c>
      <c r="GF118" s="107">
        <v>0</v>
      </c>
      <c r="GG118" s="107">
        <v>0</v>
      </c>
      <c r="GH118" s="107">
        <v>0</v>
      </c>
      <c r="GI118" s="107">
        <v>0</v>
      </c>
      <c r="GJ118" s="107">
        <v>0</v>
      </c>
      <c r="GK118" s="107">
        <v>0</v>
      </c>
      <c r="GL118" s="107">
        <v>0</v>
      </c>
      <c r="GM118" s="107">
        <v>0</v>
      </c>
      <c r="GN118" s="107">
        <v>0</v>
      </c>
      <c r="GO118" s="107">
        <v>0</v>
      </c>
      <c r="GP118" s="107">
        <v>0</v>
      </c>
      <c r="GQ118" s="107">
        <v>0</v>
      </c>
      <c r="GR118" s="107">
        <v>0</v>
      </c>
      <c r="GS118" s="107">
        <v>0</v>
      </c>
      <c r="GT118" s="107">
        <v>0</v>
      </c>
      <c r="GU118" s="107">
        <v>0</v>
      </c>
      <c r="GV118" s="107">
        <v>0</v>
      </c>
      <c r="GW118" s="107">
        <v>0</v>
      </c>
      <c r="GX118" s="107">
        <v>0</v>
      </c>
      <c r="GY118" s="107">
        <v>0</v>
      </c>
      <c r="GZ118" s="107">
        <v>0</v>
      </c>
      <c r="HA118" s="107">
        <v>0</v>
      </c>
      <c r="HB118" s="107">
        <v>0</v>
      </c>
      <c r="HC118" s="107">
        <v>0</v>
      </c>
      <c r="HD118" s="107">
        <v>0</v>
      </c>
      <c r="HE118" s="107">
        <v>0</v>
      </c>
      <c r="HF118" s="107">
        <v>0</v>
      </c>
      <c r="HG118" s="107">
        <v>0</v>
      </c>
      <c r="HH118" s="107">
        <v>0</v>
      </c>
      <c r="HI118" s="107">
        <v>0</v>
      </c>
      <c r="HJ118" s="107">
        <v>0</v>
      </c>
      <c r="HK118" s="107">
        <v>0</v>
      </c>
      <c r="HL118" s="107">
        <v>0</v>
      </c>
      <c r="HM118" s="107">
        <v>0</v>
      </c>
      <c r="HN118" s="107">
        <v>0</v>
      </c>
      <c r="HO118" s="107">
        <v>0</v>
      </c>
      <c r="HP118" s="107">
        <v>0</v>
      </c>
      <c r="HQ118" s="107">
        <v>0</v>
      </c>
      <c r="HR118" s="107">
        <v>0</v>
      </c>
      <c r="HS118" s="107">
        <v>0</v>
      </c>
      <c r="HT118" s="107">
        <f t="shared" si="183"/>
        <v>506912</v>
      </c>
      <c r="HU118" s="107">
        <f t="shared" si="184"/>
        <v>373565.3333333333</v>
      </c>
      <c r="HV118" s="107">
        <f t="shared" si="185"/>
        <v>6480</v>
      </c>
      <c r="HW118" s="383">
        <f t="shared" si="186"/>
        <v>0</v>
      </c>
      <c r="HX118" s="70">
        <f t="shared" si="187"/>
        <v>886957.3333333333</v>
      </c>
    </row>
    <row r="119" spans="1:232" ht="16.5" thickTop="1">
      <c r="A119" s="13"/>
      <c r="B119" s="418"/>
      <c r="C119" s="425"/>
      <c r="D119" s="376" t="s">
        <v>104</v>
      </c>
      <c r="E119" s="368">
        <f>ROUND(SUM(E113:E118),0)</f>
        <v>143500</v>
      </c>
      <c r="G119" s="30"/>
      <c r="H119" s="449" t="s">
        <v>485</v>
      </c>
      <c r="I119" s="141" t="s">
        <v>486</v>
      </c>
      <c r="K119" s="115"/>
      <c r="L119" s="115"/>
      <c r="M119" s="115"/>
      <c r="N119" s="115"/>
      <c r="O119" s="115"/>
      <c r="P119" s="115"/>
      <c r="Q119" s="349"/>
      <c r="R119" s="341"/>
      <c r="S119" s="19" t="s">
        <v>487</v>
      </c>
      <c r="T119" s="350">
        <f>T117+T118</f>
        <v>1839903.3333333335</v>
      </c>
      <c r="U119" s="340"/>
      <c r="Y119" s="169"/>
      <c r="FH119" s="62">
        <v>3</v>
      </c>
      <c r="FI119" s="107">
        <v>0</v>
      </c>
      <c r="FJ119" s="107">
        <v>0</v>
      </c>
      <c r="FK119" s="107">
        <v>0</v>
      </c>
      <c r="FL119" s="107">
        <v>0</v>
      </c>
      <c r="FM119" s="107">
        <v>0</v>
      </c>
      <c r="FN119" s="107">
        <v>0</v>
      </c>
      <c r="FO119" s="107">
        <v>0</v>
      </c>
      <c r="FP119" s="107">
        <v>0</v>
      </c>
      <c r="FQ119" s="107">
        <v>0</v>
      </c>
      <c r="FR119" s="107">
        <v>0</v>
      </c>
      <c r="FS119" s="107">
        <v>0</v>
      </c>
      <c r="FT119" s="107">
        <v>0</v>
      </c>
      <c r="FU119" s="107">
        <v>0</v>
      </c>
      <c r="FV119" s="107">
        <v>0</v>
      </c>
      <c r="FW119" s="107">
        <v>0</v>
      </c>
      <c r="FX119" s="107">
        <v>0</v>
      </c>
      <c r="FY119" s="107">
        <v>0</v>
      </c>
      <c r="FZ119" s="107">
        <v>0</v>
      </c>
      <c r="GA119" s="107">
        <v>0</v>
      </c>
      <c r="GB119" s="107">
        <v>0</v>
      </c>
      <c r="GC119" s="107">
        <v>0</v>
      </c>
      <c r="GD119" s="107">
        <v>0</v>
      </c>
      <c r="GE119" s="107">
        <v>0</v>
      </c>
      <c r="GF119" s="107">
        <v>0</v>
      </c>
      <c r="GG119" s="107">
        <v>0</v>
      </c>
      <c r="GH119" s="107">
        <v>0</v>
      </c>
      <c r="GI119" s="107">
        <v>0</v>
      </c>
      <c r="GJ119" s="107">
        <v>0</v>
      </c>
      <c r="GK119" s="107">
        <v>0</v>
      </c>
      <c r="GL119" s="107">
        <v>0</v>
      </c>
      <c r="GM119" s="107">
        <v>0</v>
      </c>
      <c r="GN119" s="107">
        <v>0</v>
      </c>
      <c r="GO119" s="107">
        <v>0</v>
      </c>
      <c r="GP119" s="107">
        <v>0</v>
      </c>
      <c r="GQ119" s="107">
        <v>0</v>
      </c>
      <c r="GR119" s="107">
        <v>0</v>
      </c>
      <c r="GS119" s="107">
        <v>0</v>
      </c>
      <c r="GT119" s="107">
        <v>0</v>
      </c>
      <c r="GU119" s="107">
        <v>0</v>
      </c>
      <c r="GV119" s="107">
        <v>0</v>
      </c>
      <c r="GW119" s="107">
        <v>0</v>
      </c>
      <c r="GX119" s="107">
        <v>0</v>
      </c>
      <c r="GY119" s="107">
        <v>0</v>
      </c>
      <c r="GZ119" s="107">
        <v>0</v>
      </c>
      <c r="HA119" s="107">
        <v>0</v>
      </c>
      <c r="HB119" s="107">
        <v>0</v>
      </c>
      <c r="HC119" s="107">
        <v>0</v>
      </c>
      <c r="HD119" s="107">
        <v>0</v>
      </c>
      <c r="HE119" s="107">
        <v>0</v>
      </c>
      <c r="HF119" s="107">
        <v>0</v>
      </c>
      <c r="HG119" s="107">
        <v>0</v>
      </c>
      <c r="HH119" s="107">
        <v>0</v>
      </c>
      <c r="HI119" s="107">
        <v>0</v>
      </c>
      <c r="HJ119" s="107">
        <v>0</v>
      </c>
      <c r="HK119" s="107">
        <v>0</v>
      </c>
      <c r="HL119" s="107">
        <v>0</v>
      </c>
      <c r="HM119" s="107">
        <v>0</v>
      </c>
      <c r="HN119" s="107">
        <v>0</v>
      </c>
      <c r="HO119" s="107">
        <v>0</v>
      </c>
      <c r="HP119" s="107">
        <v>0</v>
      </c>
      <c r="HQ119" s="107">
        <v>0</v>
      </c>
      <c r="HR119" s="107">
        <v>0</v>
      </c>
      <c r="HS119" s="107">
        <v>0</v>
      </c>
      <c r="HT119" s="107">
        <f t="shared" si="183"/>
        <v>456006.6666666666</v>
      </c>
      <c r="HU119" s="107">
        <f t="shared" si="184"/>
        <v>308157.3333333333</v>
      </c>
      <c r="HV119" s="107">
        <f t="shared" si="185"/>
        <v>6480</v>
      </c>
      <c r="HW119" s="383">
        <f t="shared" si="186"/>
        <v>0</v>
      </c>
      <c r="HX119" s="70">
        <f t="shared" si="187"/>
        <v>770644</v>
      </c>
    </row>
    <row r="120" spans="1:232" ht="16.5" thickBot="1">
      <c r="A120" s="1" t="s">
        <v>488</v>
      </c>
      <c r="B120" s="418"/>
      <c r="C120" s="425"/>
      <c r="D120" s="365"/>
      <c r="E120" s="364"/>
      <c r="G120" s="400" t="s">
        <v>489</v>
      </c>
      <c r="H120" s="508" t="s">
        <v>101</v>
      </c>
      <c r="I120" s="509">
        <v>3</v>
      </c>
      <c r="K120" s="114"/>
      <c r="L120" s="115"/>
      <c r="M120" s="115"/>
      <c r="N120" s="115"/>
      <c r="O120" s="115"/>
      <c r="P120" s="115"/>
      <c r="Q120" s="42"/>
      <c r="R120" s="341"/>
      <c r="S120" s="19" t="s">
        <v>490</v>
      </c>
      <c r="T120" s="350">
        <f>T119*$I$129</f>
        <v>625567.1333333334</v>
      </c>
      <c r="U120" s="340"/>
      <c r="Y120" s="169"/>
      <c r="FH120" s="62">
        <v>4</v>
      </c>
      <c r="FI120" s="107">
        <v>0</v>
      </c>
      <c r="FJ120" s="107">
        <v>0</v>
      </c>
      <c r="FK120" s="107">
        <v>0</v>
      </c>
      <c r="FL120" s="107">
        <v>0</v>
      </c>
      <c r="FM120" s="107">
        <v>0</v>
      </c>
      <c r="FN120" s="107">
        <v>0</v>
      </c>
      <c r="FO120" s="107">
        <v>0</v>
      </c>
      <c r="FP120" s="107">
        <v>0</v>
      </c>
      <c r="FQ120" s="107">
        <v>0</v>
      </c>
      <c r="FR120" s="107">
        <v>0</v>
      </c>
      <c r="FS120" s="107">
        <v>0</v>
      </c>
      <c r="FT120" s="107">
        <v>0</v>
      </c>
      <c r="FU120" s="107">
        <v>0</v>
      </c>
      <c r="FV120" s="107">
        <v>0</v>
      </c>
      <c r="FW120" s="107">
        <v>0</v>
      </c>
      <c r="FX120" s="107">
        <v>0</v>
      </c>
      <c r="FY120" s="107">
        <v>0</v>
      </c>
      <c r="FZ120" s="107">
        <v>0</v>
      </c>
      <c r="GA120" s="107">
        <v>0</v>
      </c>
      <c r="GB120" s="107">
        <v>0</v>
      </c>
      <c r="GC120" s="107">
        <v>0</v>
      </c>
      <c r="GD120" s="107">
        <v>0</v>
      </c>
      <c r="GE120" s="107">
        <v>0</v>
      </c>
      <c r="GF120" s="107">
        <v>0</v>
      </c>
      <c r="GG120" s="107">
        <v>0</v>
      </c>
      <c r="GH120" s="107">
        <v>0</v>
      </c>
      <c r="GI120" s="107">
        <v>0</v>
      </c>
      <c r="GJ120" s="107">
        <v>0</v>
      </c>
      <c r="GK120" s="107">
        <v>0</v>
      </c>
      <c r="GL120" s="107">
        <v>0</v>
      </c>
      <c r="GM120" s="107">
        <v>0</v>
      </c>
      <c r="GN120" s="107">
        <v>0</v>
      </c>
      <c r="GO120" s="107">
        <v>0</v>
      </c>
      <c r="GP120" s="107">
        <v>0</v>
      </c>
      <c r="GQ120" s="107">
        <v>0</v>
      </c>
      <c r="GR120" s="107">
        <v>0</v>
      </c>
      <c r="GS120" s="107">
        <v>0</v>
      </c>
      <c r="GT120" s="107">
        <v>0</v>
      </c>
      <c r="GU120" s="107">
        <v>0</v>
      </c>
      <c r="GV120" s="107">
        <v>0</v>
      </c>
      <c r="GW120" s="107">
        <v>0</v>
      </c>
      <c r="GX120" s="107">
        <v>0</v>
      </c>
      <c r="GY120" s="107">
        <v>0</v>
      </c>
      <c r="GZ120" s="107">
        <v>0</v>
      </c>
      <c r="HA120" s="107">
        <v>0</v>
      </c>
      <c r="HB120" s="107">
        <v>0</v>
      </c>
      <c r="HC120" s="107">
        <v>0</v>
      </c>
      <c r="HD120" s="107">
        <v>0</v>
      </c>
      <c r="HE120" s="107">
        <v>0</v>
      </c>
      <c r="HF120" s="107">
        <v>0</v>
      </c>
      <c r="HG120" s="107">
        <v>0</v>
      </c>
      <c r="HH120" s="107">
        <v>0</v>
      </c>
      <c r="HI120" s="107">
        <v>0</v>
      </c>
      <c r="HJ120" s="107">
        <v>0</v>
      </c>
      <c r="HK120" s="107">
        <v>0</v>
      </c>
      <c r="HL120" s="107">
        <v>0</v>
      </c>
      <c r="HM120" s="107">
        <v>0</v>
      </c>
      <c r="HN120" s="107">
        <v>0</v>
      </c>
      <c r="HO120" s="107">
        <v>0</v>
      </c>
      <c r="HP120" s="107">
        <v>0</v>
      </c>
      <c r="HQ120" s="107">
        <v>0</v>
      </c>
      <c r="HR120" s="107">
        <v>0</v>
      </c>
      <c r="HS120" s="107">
        <v>0</v>
      </c>
      <c r="HT120" s="107">
        <f t="shared" si="183"/>
        <v>422426.6666666666</v>
      </c>
      <c r="HU120" s="107">
        <f t="shared" si="184"/>
        <v>246545.33333333334</v>
      </c>
      <c r="HV120" s="107">
        <f t="shared" si="185"/>
        <v>6480</v>
      </c>
      <c r="HW120" s="383">
        <f t="shared" si="186"/>
        <v>0</v>
      </c>
      <c r="HX120" s="70">
        <f t="shared" si="187"/>
        <v>675452</v>
      </c>
    </row>
    <row r="121" spans="1:232" ht="16.5" thickTop="1">
      <c r="A121" s="6"/>
      <c r="B121" s="419"/>
      <c r="C121" s="423"/>
      <c r="D121" s="373"/>
      <c r="E121" s="366" t="s">
        <v>19</v>
      </c>
      <c r="G121" s="400" t="s">
        <v>491</v>
      </c>
      <c r="H121" s="508" t="s">
        <v>101</v>
      </c>
      <c r="I121" s="509">
        <v>10</v>
      </c>
      <c r="K121" s="114"/>
      <c r="L121" s="115"/>
      <c r="M121" s="115"/>
      <c r="N121" s="115"/>
      <c r="O121" s="115"/>
      <c r="P121" s="115"/>
      <c r="Q121" s="358"/>
      <c r="R121" s="341"/>
      <c r="S121" s="19" t="s">
        <v>492</v>
      </c>
      <c r="T121" s="350">
        <f>T118-T120</f>
        <v>800032.8666666666</v>
      </c>
      <c r="U121" s="340"/>
      <c r="Y121" s="169"/>
      <c r="FH121" s="62">
        <v>5</v>
      </c>
      <c r="FI121" s="107">
        <v>0</v>
      </c>
      <c r="FJ121" s="107">
        <v>0</v>
      </c>
      <c r="FK121" s="107">
        <v>0</v>
      </c>
      <c r="FL121" s="107">
        <v>0</v>
      </c>
      <c r="FM121" s="107">
        <v>0</v>
      </c>
      <c r="FN121" s="107">
        <v>0</v>
      </c>
      <c r="FO121" s="107">
        <v>0</v>
      </c>
      <c r="FP121" s="107">
        <v>0</v>
      </c>
      <c r="FQ121" s="107">
        <v>0</v>
      </c>
      <c r="FR121" s="107">
        <v>0</v>
      </c>
      <c r="FS121" s="107">
        <v>0</v>
      </c>
      <c r="FT121" s="107">
        <v>0</v>
      </c>
      <c r="FU121" s="107">
        <v>0</v>
      </c>
      <c r="FV121" s="107">
        <v>0</v>
      </c>
      <c r="FW121" s="107">
        <v>0</v>
      </c>
      <c r="FX121" s="107">
        <v>0</v>
      </c>
      <c r="FY121" s="107">
        <v>0</v>
      </c>
      <c r="FZ121" s="107">
        <v>0</v>
      </c>
      <c r="GA121" s="107">
        <v>0</v>
      </c>
      <c r="GB121" s="107">
        <v>0</v>
      </c>
      <c r="GC121" s="107">
        <v>0</v>
      </c>
      <c r="GD121" s="107">
        <v>0</v>
      </c>
      <c r="GE121" s="107">
        <v>0</v>
      </c>
      <c r="GF121" s="107">
        <v>0</v>
      </c>
      <c r="GG121" s="107">
        <v>0</v>
      </c>
      <c r="GH121" s="107">
        <v>0</v>
      </c>
      <c r="GI121" s="107">
        <v>0</v>
      </c>
      <c r="GJ121" s="107">
        <v>0</v>
      </c>
      <c r="GK121" s="107">
        <v>0</v>
      </c>
      <c r="GL121" s="107">
        <v>0</v>
      </c>
      <c r="GM121" s="107">
        <v>0</v>
      </c>
      <c r="GN121" s="107">
        <v>0</v>
      </c>
      <c r="GO121" s="107">
        <v>0</v>
      </c>
      <c r="GP121" s="107">
        <v>0</v>
      </c>
      <c r="GQ121" s="107">
        <v>0</v>
      </c>
      <c r="GR121" s="107">
        <v>0</v>
      </c>
      <c r="GS121" s="107">
        <v>0</v>
      </c>
      <c r="GT121" s="107">
        <v>0</v>
      </c>
      <c r="GU121" s="107">
        <v>0</v>
      </c>
      <c r="GV121" s="107">
        <v>0</v>
      </c>
      <c r="GW121" s="107">
        <v>0</v>
      </c>
      <c r="GX121" s="107">
        <v>0</v>
      </c>
      <c r="GY121" s="107">
        <v>0</v>
      </c>
      <c r="GZ121" s="107">
        <v>0</v>
      </c>
      <c r="HA121" s="107">
        <v>0</v>
      </c>
      <c r="HB121" s="107">
        <v>0</v>
      </c>
      <c r="HC121" s="107">
        <v>0</v>
      </c>
      <c r="HD121" s="107">
        <v>0</v>
      </c>
      <c r="HE121" s="107">
        <v>0</v>
      </c>
      <c r="HF121" s="107">
        <v>0</v>
      </c>
      <c r="HG121" s="107">
        <v>0</v>
      </c>
      <c r="HH121" s="107">
        <v>0</v>
      </c>
      <c r="HI121" s="107">
        <v>0</v>
      </c>
      <c r="HJ121" s="107">
        <v>0</v>
      </c>
      <c r="HK121" s="107">
        <v>0</v>
      </c>
      <c r="HL121" s="107">
        <v>0</v>
      </c>
      <c r="HM121" s="107">
        <v>0</v>
      </c>
      <c r="HN121" s="107">
        <v>0</v>
      </c>
      <c r="HO121" s="107">
        <v>0</v>
      </c>
      <c r="HP121" s="107">
        <v>0</v>
      </c>
      <c r="HQ121" s="107">
        <v>0</v>
      </c>
      <c r="HR121" s="107">
        <v>0</v>
      </c>
      <c r="HS121" s="107">
        <v>0</v>
      </c>
      <c r="HT121" s="107">
        <f t="shared" si="183"/>
        <v>400234.6666666666</v>
      </c>
      <c r="HU121" s="107">
        <f t="shared" si="184"/>
        <v>210726.66666666666</v>
      </c>
      <c r="HV121" s="107">
        <f t="shared" si="185"/>
        <v>6480</v>
      </c>
      <c r="HW121" s="383">
        <f t="shared" si="186"/>
        <v>0</v>
      </c>
      <c r="HX121" s="70">
        <f t="shared" si="187"/>
        <v>617441.3333333333</v>
      </c>
    </row>
    <row r="122" spans="1:232" ht="15.75">
      <c r="A122" s="9"/>
      <c r="B122" s="420"/>
      <c r="C122" s="424"/>
      <c r="D122" s="333" t="s">
        <v>51</v>
      </c>
      <c r="E122" s="132" t="s">
        <v>52</v>
      </c>
      <c r="G122" s="400" t="s">
        <v>493</v>
      </c>
      <c r="H122" s="508" t="s">
        <v>101</v>
      </c>
      <c r="I122" s="509">
        <v>5</v>
      </c>
      <c r="K122" s="114"/>
      <c r="L122" s="77"/>
      <c r="M122" s="77"/>
      <c r="N122" s="77"/>
      <c r="O122" s="77"/>
      <c r="P122" s="115"/>
      <c r="Q122" s="358"/>
      <c r="R122" s="341"/>
      <c r="S122" s="19" t="s">
        <v>494</v>
      </c>
      <c r="T122" s="350">
        <f>IF($H$137="yes",T121/((1+$I$128)^20),0)</f>
        <v>142750.57625439114</v>
      </c>
      <c r="U122" s="340"/>
      <c r="Y122" s="169"/>
      <c r="FH122" s="62">
        <v>6</v>
      </c>
      <c r="FI122" s="107">
        <v>0</v>
      </c>
      <c r="FJ122" s="107">
        <v>0</v>
      </c>
      <c r="FK122" s="107">
        <v>0</v>
      </c>
      <c r="FL122" s="107">
        <v>0</v>
      </c>
      <c r="FM122" s="107">
        <v>0</v>
      </c>
      <c r="FN122" s="107">
        <v>0</v>
      </c>
      <c r="FO122" s="107">
        <v>0</v>
      </c>
      <c r="FP122" s="107">
        <v>0</v>
      </c>
      <c r="FQ122" s="107">
        <v>0</v>
      </c>
      <c r="FR122" s="107">
        <v>0</v>
      </c>
      <c r="FS122" s="107">
        <v>0</v>
      </c>
      <c r="FT122" s="107">
        <v>0</v>
      </c>
      <c r="FU122" s="107">
        <v>0</v>
      </c>
      <c r="FV122" s="107">
        <v>0</v>
      </c>
      <c r="FW122" s="107">
        <v>0</v>
      </c>
      <c r="FX122" s="107">
        <v>0</v>
      </c>
      <c r="FY122" s="107">
        <v>0</v>
      </c>
      <c r="FZ122" s="107">
        <v>0</v>
      </c>
      <c r="GA122" s="107">
        <v>0</v>
      </c>
      <c r="GB122" s="107">
        <v>0</v>
      </c>
      <c r="GC122" s="107">
        <v>0</v>
      </c>
      <c r="GD122" s="107">
        <v>0</v>
      </c>
      <c r="GE122" s="107">
        <v>0</v>
      </c>
      <c r="GF122" s="107">
        <v>0</v>
      </c>
      <c r="GG122" s="107">
        <v>0</v>
      </c>
      <c r="GH122" s="107">
        <v>0</v>
      </c>
      <c r="GI122" s="107">
        <v>0</v>
      </c>
      <c r="GJ122" s="107">
        <v>0</v>
      </c>
      <c r="GK122" s="107">
        <v>0</v>
      </c>
      <c r="GL122" s="107">
        <v>0</v>
      </c>
      <c r="GM122" s="107">
        <v>0</v>
      </c>
      <c r="GN122" s="107">
        <v>0</v>
      </c>
      <c r="GO122" s="107">
        <v>0</v>
      </c>
      <c r="GP122" s="107">
        <v>0</v>
      </c>
      <c r="GQ122" s="107">
        <v>0</v>
      </c>
      <c r="GR122" s="107">
        <v>0</v>
      </c>
      <c r="GS122" s="107">
        <v>0</v>
      </c>
      <c r="GT122" s="107">
        <v>0</v>
      </c>
      <c r="GU122" s="107">
        <v>0</v>
      </c>
      <c r="GV122" s="107">
        <v>0</v>
      </c>
      <c r="GW122" s="107">
        <v>0</v>
      </c>
      <c r="GX122" s="107">
        <v>0</v>
      </c>
      <c r="GY122" s="107">
        <v>0</v>
      </c>
      <c r="GZ122" s="107">
        <v>0</v>
      </c>
      <c r="HA122" s="107">
        <v>0</v>
      </c>
      <c r="HB122" s="107">
        <v>0</v>
      </c>
      <c r="HC122" s="107">
        <v>0</v>
      </c>
      <c r="HD122" s="107">
        <v>0</v>
      </c>
      <c r="HE122" s="107">
        <v>0</v>
      </c>
      <c r="HF122" s="107">
        <v>0</v>
      </c>
      <c r="HG122" s="107">
        <v>0</v>
      </c>
      <c r="HH122" s="107">
        <v>0</v>
      </c>
      <c r="HI122" s="107">
        <v>0</v>
      </c>
      <c r="HJ122" s="107">
        <v>0</v>
      </c>
      <c r="HK122" s="107">
        <v>0</v>
      </c>
      <c r="HL122" s="107">
        <v>0</v>
      </c>
      <c r="HM122" s="107">
        <v>0</v>
      </c>
      <c r="HN122" s="107">
        <v>0</v>
      </c>
      <c r="HO122" s="107">
        <v>0</v>
      </c>
      <c r="HP122" s="107">
        <v>0</v>
      </c>
      <c r="HQ122" s="107">
        <v>0</v>
      </c>
      <c r="HR122" s="107">
        <v>0</v>
      </c>
      <c r="HS122" s="107">
        <v>0</v>
      </c>
      <c r="HT122" s="107">
        <f t="shared" si="183"/>
        <v>385537.3333333333</v>
      </c>
      <c r="HU122" s="107">
        <f t="shared" si="184"/>
        <v>210726.66666666666</v>
      </c>
      <c r="HV122" s="107">
        <f t="shared" si="185"/>
        <v>7020</v>
      </c>
      <c r="HW122" s="383">
        <f t="shared" si="186"/>
        <v>0</v>
      </c>
      <c r="HX122" s="70">
        <f t="shared" si="187"/>
        <v>603284</v>
      </c>
    </row>
    <row r="123" spans="1:232" ht="16.5" thickBot="1">
      <c r="A123" s="11" t="s">
        <v>63</v>
      </c>
      <c r="B123" s="421" t="s">
        <v>64</v>
      </c>
      <c r="C123" s="421" t="s">
        <v>65</v>
      </c>
      <c r="D123" s="374" t="s">
        <v>66</v>
      </c>
      <c r="E123" s="295" t="s">
        <v>66</v>
      </c>
      <c r="G123" s="394" t="s">
        <v>495</v>
      </c>
      <c r="H123" s="508" t="s">
        <v>101</v>
      </c>
      <c r="I123" s="509">
        <v>10</v>
      </c>
      <c r="K123" s="114"/>
      <c r="L123" s="77"/>
      <c r="M123" s="77"/>
      <c r="N123" s="77"/>
      <c r="O123" s="77"/>
      <c r="P123" s="115"/>
      <c r="Q123" s="357" t="s">
        <v>496</v>
      </c>
      <c r="R123" s="115"/>
      <c r="S123" s="115"/>
      <c r="T123" s="351"/>
      <c r="U123" s="340"/>
      <c r="Y123" s="169"/>
      <c r="FH123" s="62">
        <v>7</v>
      </c>
      <c r="FI123" s="107">
        <v>0</v>
      </c>
      <c r="FJ123" s="107">
        <v>0</v>
      </c>
      <c r="FK123" s="107">
        <v>0</v>
      </c>
      <c r="FL123" s="107">
        <v>0</v>
      </c>
      <c r="FM123" s="107">
        <v>0</v>
      </c>
      <c r="FN123" s="107">
        <v>0</v>
      </c>
      <c r="FO123" s="107">
        <v>0</v>
      </c>
      <c r="FP123" s="107">
        <v>0</v>
      </c>
      <c r="FQ123" s="107">
        <v>0</v>
      </c>
      <c r="FR123" s="107">
        <v>0</v>
      </c>
      <c r="FS123" s="107">
        <v>0</v>
      </c>
      <c r="FT123" s="107">
        <v>0</v>
      </c>
      <c r="FU123" s="107">
        <v>0</v>
      </c>
      <c r="FV123" s="107">
        <v>0</v>
      </c>
      <c r="FW123" s="107">
        <v>0</v>
      </c>
      <c r="FX123" s="107">
        <v>0</v>
      </c>
      <c r="FY123" s="107">
        <v>0</v>
      </c>
      <c r="FZ123" s="107">
        <v>0</v>
      </c>
      <c r="GA123" s="107">
        <v>0</v>
      </c>
      <c r="GB123" s="107">
        <v>0</v>
      </c>
      <c r="GC123" s="107">
        <v>0</v>
      </c>
      <c r="GD123" s="107">
        <v>0</v>
      </c>
      <c r="GE123" s="107">
        <v>0</v>
      </c>
      <c r="GF123" s="107">
        <v>0</v>
      </c>
      <c r="GG123" s="107">
        <v>0</v>
      </c>
      <c r="GH123" s="107">
        <v>0</v>
      </c>
      <c r="GI123" s="107">
        <v>0</v>
      </c>
      <c r="GJ123" s="107">
        <v>0</v>
      </c>
      <c r="GK123" s="107">
        <v>0</v>
      </c>
      <c r="GL123" s="107">
        <v>0</v>
      </c>
      <c r="GM123" s="107">
        <v>0</v>
      </c>
      <c r="GN123" s="107">
        <v>0</v>
      </c>
      <c r="GO123" s="107">
        <v>0</v>
      </c>
      <c r="GP123" s="107">
        <v>0</v>
      </c>
      <c r="GQ123" s="107">
        <v>0</v>
      </c>
      <c r="GR123" s="107">
        <v>0</v>
      </c>
      <c r="GS123" s="107">
        <v>0</v>
      </c>
      <c r="GT123" s="107">
        <v>0</v>
      </c>
      <c r="GU123" s="107">
        <v>0</v>
      </c>
      <c r="GV123" s="107">
        <v>0</v>
      </c>
      <c r="GW123" s="107">
        <v>0</v>
      </c>
      <c r="GX123" s="107">
        <v>0</v>
      </c>
      <c r="GY123" s="107">
        <v>0</v>
      </c>
      <c r="GZ123" s="107">
        <v>0</v>
      </c>
      <c r="HA123" s="107">
        <v>0</v>
      </c>
      <c r="HB123" s="107">
        <v>0</v>
      </c>
      <c r="HC123" s="107">
        <v>0</v>
      </c>
      <c r="HD123" s="107">
        <v>0</v>
      </c>
      <c r="HE123" s="107">
        <v>0</v>
      </c>
      <c r="HF123" s="107">
        <v>0</v>
      </c>
      <c r="HG123" s="107">
        <v>0</v>
      </c>
      <c r="HH123" s="107">
        <v>0</v>
      </c>
      <c r="HI123" s="107">
        <v>0</v>
      </c>
      <c r="HJ123" s="107">
        <v>0</v>
      </c>
      <c r="HK123" s="107">
        <v>0</v>
      </c>
      <c r="HL123" s="107">
        <v>0</v>
      </c>
      <c r="HM123" s="107">
        <v>0</v>
      </c>
      <c r="HN123" s="107">
        <v>0</v>
      </c>
      <c r="HO123" s="107">
        <v>0</v>
      </c>
      <c r="HP123" s="107">
        <v>0</v>
      </c>
      <c r="HQ123" s="107">
        <v>0</v>
      </c>
      <c r="HR123" s="107">
        <v>0</v>
      </c>
      <c r="HS123" s="107">
        <v>0</v>
      </c>
      <c r="HT123" s="107">
        <f t="shared" si="183"/>
        <v>385537.3333333333</v>
      </c>
      <c r="HU123" s="107">
        <f t="shared" si="184"/>
        <v>210726.66666666666</v>
      </c>
      <c r="HV123" s="107">
        <f t="shared" si="185"/>
        <v>7020</v>
      </c>
      <c r="HW123" s="383">
        <f t="shared" si="186"/>
        <v>0</v>
      </c>
      <c r="HX123" s="70">
        <f t="shared" si="187"/>
        <v>603284</v>
      </c>
    </row>
    <row r="124" spans="1:232" ht="16.5" thickTop="1">
      <c r="A124" s="488">
        <v>12</v>
      </c>
      <c r="B124" s="416" t="s">
        <v>497</v>
      </c>
      <c r="C124" s="411" t="s">
        <v>498</v>
      </c>
      <c r="D124" s="490">
        <v>775</v>
      </c>
      <c r="E124" s="367">
        <f>D124*A124</f>
        <v>9300</v>
      </c>
      <c r="G124" s="400" t="s">
        <v>499</v>
      </c>
      <c r="H124" s="508" t="s">
        <v>101</v>
      </c>
      <c r="I124" s="509">
        <v>3</v>
      </c>
      <c r="K124" s="114"/>
      <c r="L124" s="75"/>
      <c r="M124" s="75"/>
      <c r="N124" s="75"/>
      <c r="O124" s="75"/>
      <c r="P124" s="77"/>
      <c r="Q124" s="358"/>
      <c r="R124" s="341"/>
      <c r="S124" s="19" t="s">
        <v>500</v>
      </c>
      <c r="T124" s="350">
        <v>0</v>
      </c>
      <c r="U124" s="340"/>
      <c r="Y124" s="169"/>
      <c r="FH124" s="62">
        <v>8</v>
      </c>
      <c r="FI124" s="107">
        <v>0</v>
      </c>
      <c r="FJ124" s="107">
        <v>0</v>
      </c>
      <c r="FK124" s="107">
        <v>0</v>
      </c>
      <c r="FL124" s="107">
        <v>0</v>
      </c>
      <c r="FM124" s="107">
        <v>0</v>
      </c>
      <c r="FN124" s="107">
        <v>0</v>
      </c>
      <c r="FO124" s="107">
        <v>0</v>
      </c>
      <c r="FP124" s="107">
        <v>0</v>
      </c>
      <c r="FQ124" s="107">
        <v>0</v>
      </c>
      <c r="FR124" s="107">
        <v>0</v>
      </c>
      <c r="FS124" s="107">
        <v>0</v>
      </c>
      <c r="FT124" s="107">
        <v>0</v>
      </c>
      <c r="FU124" s="107">
        <v>0</v>
      </c>
      <c r="FV124" s="107">
        <v>0</v>
      </c>
      <c r="FW124" s="107">
        <v>0</v>
      </c>
      <c r="FX124" s="107">
        <v>0</v>
      </c>
      <c r="FY124" s="107">
        <v>0</v>
      </c>
      <c r="FZ124" s="107">
        <v>0</v>
      </c>
      <c r="GA124" s="107">
        <v>0</v>
      </c>
      <c r="GB124" s="107">
        <v>0</v>
      </c>
      <c r="GC124" s="107">
        <v>0</v>
      </c>
      <c r="GD124" s="107">
        <v>0</v>
      </c>
      <c r="GE124" s="107">
        <v>0</v>
      </c>
      <c r="GF124" s="107">
        <v>0</v>
      </c>
      <c r="GG124" s="107">
        <v>0</v>
      </c>
      <c r="GH124" s="107">
        <v>0</v>
      </c>
      <c r="GI124" s="107">
        <v>0</v>
      </c>
      <c r="GJ124" s="107">
        <v>0</v>
      </c>
      <c r="GK124" s="107">
        <v>0</v>
      </c>
      <c r="GL124" s="107">
        <v>0</v>
      </c>
      <c r="GM124" s="107">
        <v>0</v>
      </c>
      <c r="GN124" s="107">
        <v>0</v>
      </c>
      <c r="GO124" s="107">
        <v>0</v>
      </c>
      <c r="GP124" s="107">
        <v>0</v>
      </c>
      <c r="GQ124" s="107">
        <v>0</v>
      </c>
      <c r="GR124" s="107">
        <v>0</v>
      </c>
      <c r="GS124" s="107">
        <v>0</v>
      </c>
      <c r="GT124" s="107">
        <v>0</v>
      </c>
      <c r="GU124" s="107">
        <v>0</v>
      </c>
      <c r="GV124" s="107">
        <v>0</v>
      </c>
      <c r="GW124" s="107">
        <v>0</v>
      </c>
      <c r="GX124" s="107">
        <v>0</v>
      </c>
      <c r="GY124" s="107">
        <v>0</v>
      </c>
      <c r="GZ124" s="107">
        <v>0</v>
      </c>
      <c r="HA124" s="107">
        <v>0</v>
      </c>
      <c r="HB124" s="107">
        <v>0</v>
      </c>
      <c r="HC124" s="107">
        <v>0</v>
      </c>
      <c r="HD124" s="107">
        <v>0</v>
      </c>
      <c r="HE124" s="107">
        <v>0</v>
      </c>
      <c r="HF124" s="107">
        <v>0</v>
      </c>
      <c r="HG124" s="107">
        <v>0</v>
      </c>
      <c r="HH124" s="107">
        <v>0</v>
      </c>
      <c r="HI124" s="107">
        <v>0</v>
      </c>
      <c r="HJ124" s="107">
        <v>0</v>
      </c>
      <c r="HK124" s="107">
        <v>0</v>
      </c>
      <c r="HL124" s="107">
        <v>0</v>
      </c>
      <c r="HM124" s="107">
        <v>0</v>
      </c>
      <c r="HN124" s="107">
        <v>0</v>
      </c>
      <c r="HO124" s="107">
        <v>0</v>
      </c>
      <c r="HP124" s="107">
        <v>0</v>
      </c>
      <c r="HQ124" s="107">
        <v>0</v>
      </c>
      <c r="HR124" s="107">
        <v>0</v>
      </c>
      <c r="HS124" s="107">
        <v>0</v>
      </c>
      <c r="HT124" s="107">
        <f t="shared" si="183"/>
        <v>385537.3333333333</v>
      </c>
      <c r="HU124" s="107">
        <f t="shared" si="184"/>
        <v>210726.66666666666</v>
      </c>
      <c r="HV124" s="107">
        <f t="shared" si="185"/>
        <v>7020</v>
      </c>
      <c r="HW124" s="383">
        <f t="shared" si="186"/>
        <v>0</v>
      </c>
      <c r="HX124" s="70">
        <f t="shared" si="187"/>
        <v>603284</v>
      </c>
    </row>
    <row r="125" spans="1:232" ht="16.5" thickBot="1">
      <c r="A125" s="489">
        <v>12</v>
      </c>
      <c r="B125" s="414" t="s">
        <v>501</v>
      </c>
      <c r="C125" s="415" t="s">
        <v>498</v>
      </c>
      <c r="D125" s="491">
        <v>300</v>
      </c>
      <c r="E125" s="459">
        <f>D125*A125</f>
        <v>3600</v>
      </c>
      <c r="G125" s="400" t="s">
        <v>502</v>
      </c>
      <c r="H125" s="508" t="s">
        <v>101</v>
      </c>
      <c r="I125" s="509">
        <v>15</v>
      </c>
      <c r="K125" s="115"/>
      <c r="L125" s="75"/>
      <c r="M125" s="75"/>
      <c r="N125" s="75"/>
      <c r="O125" s="75"/>
      <c r="P125" s="77"/>
      <c r="Q125" s="358"/>
      <c r="R125" s="341"/>
      <c r="S125" s="19" t="s">
        <v>484</v>
      </c>
      <c r="T125" s="350">
        <f>$I$141</f>
        <v>596942.5</v>
      </c>
      <c r="U125" s="340"/>
      <c r="Y125" s="169"/>
      <c r="FH125" s="62">
        <v>9</v>
      </c>
      <c r="FI125" s="107">
        <v>0</v>
      </c>
      <c r="FJ125" s="107">
        <v>0</v>
      </c>
      <c r="FK125" s="107">
        <v>0</v>
      </c>
      <c r="FL125" s="107">
        <v>0</v>
      </c>
      <c r="FM125" s="107">
        <v>0</v>
      </c>
      <c r="FN125" s="107">
        <v>0</v>
      </c>
      <c r="FO125" s="107">
        <v>0</v>
      </c>
      <c r="FP125" s="107">
        <v>0</v>
      </c>
      <c r="FQ125" s="107">
        <v>0</v>
      </c>
      <c r="FR125" s="107">
        <v>0</v>
      </c>
      <c r="FS125" s="107">
        <v>0</v>
      </c>
      <c r="FT125" s="107">
        <v>0</v>
      </c>
      <c r="FU125" s="107">
        <v>0</v>
      </c>
      <c r="FV125" s="107">
        <v>0</v>
      </c>
      <c r="FW125" s="107">
        <v>0</v>
      </c>
      <c r="FX125" s="107">
        <v>0</v>
      </c>
      <c r="FY125" s="107">
        <v>0</v>
      </c>
      <c r="FZ125" s="107">
        <v>0</v>
      </c>
      <c r="GA125" s="107">
        <v>0</v>
      </c>
      <c r="GB125" s="107">
        <v>0</v>
      </c>
      <c r="GC125" s="107">
        <v>0</v>
      </c>
      <c r="GD125" s="107">
        <v>0</v>
      </c>
      <c r="GE125" s="107">
        <v>0</v>
      </c>
      <c r="GF125" s="107">
        <v>0</v>
      </c>
      <c r="GG125" s="107">
        <v>0</v>
      </c>
      <c r="GH125" s="107">
        <v>0</v>
      </c>
      <c r="GI125" s="107">
        <v>0</v>
      </c>
      <c r="GJ125" s="107">
        <v>0</v>
      </c>
      <c r="GK125" s="107">
        <v>0</v>
      </c>
      <c r="GL125" s="107">
        <v>0</v>
      </c>
      <c r="GM125" s="107">
        <v>0</v>
      </c>
      <c r="GN125" s="107">
        <v>0</v>
      </c>
      <c r="GO125" s="107">
        <v>0</v>
      </c>
      <c r="GP125" s="107">
        <v>0</v>
      </c>
      <c r="GQ125" s="107">
        <v>0</v>
      </c>
      <c r="GR125" s="107">
        <v>0</v>
      </c>
      <c r="GS125" s="107">
        <v>0</v>
      </c>
      <c r="GT125" s="107">
        <v>0</v>
      </c>
      <c r="GU125" s="107">
        <v>0</v>
      </c>
      <c r="GV125" s="107">
        <v>0</v>
      </c>
      <c r="GW125" s="107">
        <v>0</v>
      </c>
      <c r="GX125" s="107">
        <v>0</v>
      </c>
      <c r="GY125" s="107">
        <v>0</v>
      </c>
      <c r="GZ125" s="107">
        <v>0</v>
      </c>
      <c r="HA125" s="107">
        <v>0</v>
      </c>
      <c r="HB125" s="107">
        <v>0</v>
      </c>
      <c r="HC125" s="107">
        <v>0</v>
      </c>
      <c r="HD125" s="107">
        <v>0</v>
      </c>
      <c r="HE125" s="107">
        <v>0</v>
      </c>
      <c r="HF125" s="107">
        <v>0</v>
      </c>
      <c r="HG125" s="107">
        <v>0</v>
      </c>
      <c r="HH125" s="107">
        <v>0</v>
      </c>
      <c r="HI125" s="107">
        <v>0</v>
      </c>
      <c r="HJ125" s="107">
        <v>0</v>
      </c>
      <c r="HK125" s="107">
        <v>0</v>
      </c>
      <c r="HL125" s="107">
        <v>0</v>
      </c>
      <c r="HM125" s="107">
        <v>0</v>
      </c>
      <c r="HN125" s="107">
        <v>0</v>
      </c>
      <c r="HO125" s="107">
        <v>0</v>
      </c>
      <c r="HP125" s="107">
        <v>0</v>
      </c>
      <c r="HQ125" s="107">
        <v>0</v>
      </c>
      <c r="HR125" s="107">
        <v>0</v>
      </c>
      <c r="HS125" s="107">
        <v>0</v>
      </c>
      <c r="HT125" s="107">
        <f t="shared" si="183"/>
        <v>385537.3333333333</v>
      </c>
      <c r="HU125" s="107">
        <f t="shared" si="184"/>
        <v>210726.66666666666</v>
      </c>
      <c r="HV125" s="107">
        <f t="shared" si="185"/>
        <v>6480</v>
      </c>
      <c r="HW125" s="383">
        <f t="shared" si="186"/>
        <v>0</v>
      </c>
      <c r="HX125" s="70">
        <f t="shared" si="187"/>
        <v>602744</v>
      </c>
    </row>
    <row r="126" spans="1:232" ht="17.25" thickBot="1" thickTop="1">
      <c r="A126" s="13"/>
      <c r="B126" s="418"/>
      <c r="C126" s="425"/>
      <c r="D126" s="376" t="s">
        <v>104</v>
      </c>
      <c r="E126" s="368">
        <f>ROUND(SUM(E124:E125),0)</f>
        <v>12900</v>
      </c>
      <c r="G126" s="400" t="s">
        <v>503</v>
      </c>
      <c r="H126" s="508" t="s">
        <v>101</v>
      </c>
      <c r="I126" s="142" t="s">
        <v>504</v>
      </c>
      <c r="K126" s="116"/>
      <c r="L126" s="75"/>
      <c r="M126" s="75"/>
      <c r="N126" s="75"/>
      <c r="O126" s="75"/>
      <c r="P126" s="75"/>
      <c r="Q126" s="358"/>
      <c r="R126" s="341"/>
      <c r="S126" s="19" t="s">
        <v>505</v>
      </c>
      <c r="T126" s="350">
        <f>T125-T124</f>
        <v>596942.5</v>
      </c>
      <c r="U126" s="340"/>
      <c r="Y126" s="169"/>
      <c r="FH126" s="62">
        <v>10</v>
      </c>
      <c r="FI126" s="107">
        <v>0</v>
      </c>
      <c r="FJ126" s="107">
        <v>0</v>
      </c>
      <c r="FK126" s="107">
        <v>0</v>
      </c>
      <c r="FL126" s="107">
        <v>0</v>
      </c>
      <c r="FM126" s="107">
        <v>0</v>
      </c>
      <c r="FN126" s="107">
        <v>0</v>
      </c>
      <c r="FO126" s="107">
        <v>0</v>
      </c>
      <c r="FP126" s="107">
        <v>0</v>
      </c>
      <c r="FQ126" s="107">
        <v>0</v>
      </c>
      <c r="FR126" s="107">
        <v>0</v>
      </c>
      <c r="FS126" s="107">
        <v>0</v>
      </c>
      <c r="FT126" s="107">
        <v>0</v>
      </c>
      <c r="FU126" s="107">
        <v>0</v>
      </c>
      <c r="FV126" s="107">
        <v>0</v>
      </c>
      <c r="FW126" s="107">
        <v>0</v>
      </c>
      <c r="FX126" s="107">
        <v>0</v>
      </c>
      <c r="FY126" s="107">
        <v>0</v>
      </c>
      <c r="FZ126" s="107">
        <v>0</v>
      </c>
      <c r="GA126" s="107">
        <v>0</v>
      </c>
      <c r="GB126" s="107">
        <v>0</v>
      </c>
      <c r="GC126" s="107">
        <v>0</v>
      </c>
      <c r="GD126" s="107">
        <v>0</v>
      </c>
      <c r="GE126" s="107">
        <v>0</v>
      </c>
      <c r="GF126" s="107">
        <v>0</v>
      </c>
      <c r="GG126" s="107">
        <v>0</v>
      </c>
      <c r="GH126" s="107">
        <v>0</v>
      </c>
      <c r="GI126" s="107">
        <v>0</v>
      </c>
      <c r="GJ126" s="107">
        <v>0</v>
      </c>
      <c r="GK126" s="107">
        <v>0</v>
      </c>
      <c r="GL126" s="107">
        <v>0</v>
      </c>
      <c r="GM126" s="107">
        <v>0</v>
      </c>
      <c r="GN126" s="107">
        <v>0</v>
      </c>
      <c r="GO126" s="107">
        <v>0</v>
      </c>
      <c r="GP126" s="107">
        <v>0</v>
      </c>
      <c r="GQ126" s="107">
        <v>0</v>
      </c>
      <c r="GR126" s="107">
        <v>0</v>
      </c>
      <c r="GS126" s="107">
        <v>0</v>
      </c>
      <c r="GT126" s="107">
        <v>0</v>
      </c>
      <c r="GU126" s="107">
        <v>0</v>
      </c>
      <c r="GV126" s="107">
        <v>0</v>
      </c>
      <c r="GW126" s="107">
        <v>0</v>
      </c>
      <c r="GX126" s="107">
        <v>0</v>
      </c>
      <c r="GY126" s="107">
        <v>0</v>
      </c>
      <c r="GZ126" s="107">
        <v>0</v>
      </c>
      <c r="HA126" s="107">
        <v>0</v>
      </c>
      <c r="HB126" s="107">
        <v>0</v>
      </c>
      <c r="HC126" s="107">
        <v>0</v>
      </c>
      <c r="HD126" s="107">
        <v>0</v>
      </c>
      <c r="HE126" s="107">
        <v>0</v>
      </c>
      <c r="HF126" s="107">
        <v>0</v>
      </c>
      <c r="HG126" s="107">
        <v>0</v>
      </c>
      <c r="HH126" s="107">
        <v>0</v>
      </c>
      <c r="HI126" s="107">
        <v>0</v>
      </c>
      <c r="HJ126" s="107">
        <v>0</v>
      </c>
      <c r="HK126" s="107">
        <v>0</v>
      </c>
      <c r="HL126" s="107">
        <v>0</v>
      </c>
      <c r="HM126" s="107">
        <v>0</v>
      </c>
      <c r="HN126" s="107">
        <v>0</v>
      </c>
      <c r="HO126" s="107">
        <v>0</v>
      </c>
      <c r="HP126" s="107">
        <v>0</v>
      </c>
      <c r="HQ126" s="107">
        <v>0</v>
      </c>
      <c r="HR126" s="107">
        <v>0</v>
      </c>
      <c r="HS126" s="107">
        <v>0</v>
      </c>
      <c r="HT126" s="107">
        <f t="shared" si="183"/>
        <v>385537.3333333333</v>
      </c>
      <c r="HU126" s="107">
        <f t="shared" si="184"/>
        <v>210726.66666666666</v>
      </c>
      <c r="HV126" s="107">
        <f t="shared" si="185"/>
        <v>6480</v>
      </c>
      <c r="HW126" s="383">
        <f t="shared" si="186"/>
        <v>0</v>
      </c>
      <c r="HX126" s="70">
        <f t="shared" si="187"/>
        <v>602744</v>
      </c>
    </row>
    <row r="127" spans="1:232" ht="17.25" thickBot="1" thickTop="1">
      <c r="A127" s="1" t="s">
        <v>268</v>
      </c>
      <c r="B127" s="418"/>
      <c r="C127" s="425"/>
      <c r="D127" s="376"/>
      <c r="E127" s="368"/>
      <c r="G127" s="56" t="s">
        <v>506</v>
      </c>
      <c r="H127" s="442"/>
      <c r="I127" s="137"/>
      <c r="K127" s="116"/>
      <c r="L127" s="75"/>
      <c r="M127" s="75"/>
      <c r="N127" s="75"/>
      <c r="O127" s="75"/>
      <c r="P127" s="75"/>
      <c r="Q127" s="358"/>
      <c r="R127" s="341"/>
      <c r="S127" s="19" t="s">
        <v>487</v>
      </c>
      <c r="T127" s="350">
        <f>T125+T126</f>
        <v>1193885</v>
      </c>
      <c r="U127" s="340"/>
      <c r="Y127" s="169"/>
      <c r="FH127" s="62">
        <v>11</v>
      </c>
      <c r="FI127" s="107">
        <v>0</v>
      </c>
      <c r="FJ127" s="107">
        <v>0</v>
      </c>
      <c r="FK127" s="107">
        <v>0</v>
      </c>
      <c r="FL127" s="107">
        <v>0</v>
      </c>
      <c r="FM127" s="107">
        <v>0</v>
      </c>
      <c r="FN127" s="107">
        <v>0</v>
      </c>
      <c r="FO127" s="107">
        <v>0</v>
      </c>
      <c r="FP127" s="107">
        <v>0</v>
      </c>
      <c r="FQ127" s="107">
        <v>0</v>
      </c>
      <c r="FR127" s="107">
        <v>0</v>
      </c>
      <c r="FS127" s="107">
        <v>0</v>
      </c>
      <c r="FT127" s="107">
        <v>0</v>
      </c>
      <c r="FU127" s="107">
        <v>0</v>
      </c>
      <c r="FV127" s="107">
        <v>0</v>
      </c>
      <c r="FW127" s="107">
        <v>0</v>
      </c>
      <c r="FX127" s="107">
        <v>0</v>
      </c>
      <c r="FY127" s="107">
        <v>0</v>
      </c>
      <c r="FZ127" s="107">
        <v>0</v>
      </c>
      <c r="GA127" s="107">
        <v>0</v>
      </c>
      <c r="GB127" s="107">
        <v>0</v>
      </c>
      <c r="GC127" s="107">
        <v>0</v>
      </c>
      <c r="GD127" s="107">
        <v>0</v>
      </c>
      <c r="GE127" s="107">
        <v>0</v>
      </c>
      <c r="GF127" s="107">
        <v>0</v>
      </c>
      <c r="GG127" s="107">
        <v>0</v>
      </c>
      <c r="GH127" s="107">
        <v>0</v>
      </c>
      <c r="GI127" s="107">
        <v>0</v>
      </c>
      <c r="GJ127" s="107">
        <v>0</v>
      </c>
      <c r="GK127" s="107">
        <v>0</v>
      </c>
      <c r="GL127" s="107">
        <v>0</v>
      </c>
      <c r="GM127" s="107">
        <v>0</v>
      </c>
      <c r="GN127" s="107">
        <v>0</v>
      </c>
      <c r="GO127" s="107">
        <v>0</v>
      </c>
      <c r="GP127" s="107">
        <v>0</v>
      </c>
      <c r="GQ127" s="107">
        <v>0</v>
      </c>
      <c r="GR127" s="107">
        <v>0</v>
      </c>
      <c r="GS127" s="107">
        <v>0</v>
      </c>
      <c r="GT127" s="107">
        <v>0</v>
      </c>
      <c r="GU127" s="107">
        <v>0</v>
      </c>
      <c r="GV127" s="107">
        <v>0</v>
      </c>
      <c r="GW127" s="107">
        <v>0</v>
      </c>
      <c r="GX127" s="107">
        <v>0</v>
      </c>
      <c r="GY127" s="107">
        <v>0</v>
      </c>
      <c r="GZ127" s="107">
        <v>0</v>
      </c>
      <c r="HA127" s="107">
        <v>0</v>
      </c>
      <c r="HB127" s="107">
        <v>0</v>
      </c>
      <c r="HC127" s="107">
        <v>0</v>
      </c>
      <c r="HD127" s="107">
        <v>0</v>
      </c>
      <c r="HE127" s="107">
        <v>0</v>
      </c>
      <c r="HF127" s="107">
        <v>0</v>
      </c>
      <c r="HG127" s="107">
        <v>0</v>
      </c>
      <c r="HH127" s="107">
        <v>0</v>
      </c>
      <c r="HI127" s="107">
        <v>0</v>
      </c>
      <c r="HJ127" s="107">
        <v>0</v>
      </c>
      <c r="HK127" s="107">
        <v>0</v>
      </c>
      <c r="HL127" s="107">
        <v>0</v>
      </c>
      <c r="HM127" s="107">
        <v>0</v>
      </c>
      <c r="HN127" s="107">
        <v>0</v>
      </c>
      <c r="HO127" s="107">
        <v>0</v>
      </c>
      <c r="HP127" s="107">
        <v>0</v>
      </c>
      <c r="HQ127" s="107">
        <v>0</v>
      </c>
      <c r="HR127" s="107">
        <v>0</v>
      </c>
      <c r="HS127" s="107">
        <v>0</v>
      </c>
      <c r="HT127" s="107">
        <f t="shared" si="183"/>
        <v>385537.3333333333</v>
      </c>
      <c r="HU127" s="107">
        <f t="shared" si="184"/>
        <v>210726.66666666666</v>
      </c>
      <c r="HV127" s="107">
        <f t="shared" si="185"/>
        <v>6480</v>
      </c>
      <c r="HW127" s="383">
        <f t="shared" si="186"/>
        <v>0</v>
      </c>
      <c r="HX127" s="70">
        <f t="shared" si="187"/>
        <v>602744</v>
      </c>
    </row>
    <row r="128" spans="1:232" ht="17.25" thickBot="1" thickTop="1">
      <c r="A128" s="1" t="s">
        <v>507</v>
      </c>
      <c r="B128" s="418"/>
      <c r="C128" s="425"/>
      <c r="D128" s="365"/>
      <c r="E128" s="364"/>
      <c r="G128" s="394" t="s">
        <v>508</v>
      </c>
      <c r="H128" s="440"/>
      <c r="I128" s="501">
        <v>0.09</v>
      </c>
      <c r="K128" s="116"/>
      <c r="L128" s="75"/>
      <c r="M128" s="75"/>
      <c r="N128" s="75"/>
      <c r="O128" s="75"/>
      <c r="P128" s="75"/>
      <c r="Q128" s="76"/>
      <c r="R128" s="341"/>
      <c r="S128" s="19" t="s">
        <v>490</v>
      </c>
      <c r="T128" s="350">
        <f>$I$129*T127</f>
        <v>405920.9</v>
      </c>
      <c r="U128" s="340"/>
      <c r="Y128" s="169"/>
      <c r="FH128" s="62">
        <v>12</v>
      </c>
      <c r="FI128" s="107">
        <f>ROUND($I$7*($I$17+$I$20),0)</f>
        <v>408</v>
      </c>
      <c r="FJ128" s="107">
        <f>IF($H$120="yes",FI128*$FR$91,0)</f>
        <v>0</v>
      </c>
      <c r="FK128" s="107">
        <f>IF($H$120="no",FI128*$FS$91,0)</f>
        <v>198560</v>
      </c>
      <c r="FL128" s="107">
        <f>IF($H$120="yes",ROUND($I$17*FI128,0)*($FR$92+$FR$93+$FR$94+$FR$95),ROUND($I$17*FI128,0)*($FS$92+$FS$93+$FS$94+$FS$95))</f>
        <v>131400</v>
      </c>
      <c r="FM128" s="107">
        <f>IF($H$120="yes",ROUND($I$20*FI128,0)*($FR$92+$FR$93+$FR$94+$FR$95),ROUND($I$20*FI128,0)*($FS$92+$FS$93+$FS$94+$FS$95))</f>
        <v>3893.333333333333</v>
      </c>
      <c r="FN128" s="107">
        <f aca="true" t="shared" si="188" ref="FN128:FN136">IF($H$117="no",ROUND($I$20*FI128,0)*($I$18*$I$19),0)</f>
        <v>2160</v>
      </c>
      <c r="FO128" s="107">
        <f aca="true" t="shared" si="189" ref="FO128:FO136">IF($H$117="yes",ROUND(FI128*$I$17,0)*$I$18*$I$19,0)</f>
        <v>0</v>
      </c>
      <c r="FP128" s="107">
        <v>0</v>
      </c>
      <c r="FQ128" s="107">
        <v>0</v>
      </c>
      <c r="FR128" s="107">
        <v>0</v>
      </c>
      <c r="FS128" s="107">
        <v>0</v>
      </c>
      <c r="FT128" s="107">
        <v>0</v>
      </c>
      <c r="FU128" s="107">
        <v>0</v>
      </c>
      <c r="FV128" s="107">
        <v>0</v>
      </c>
      <c r="FW128" s="107">
        <v>0</v>
      </c>
      <c r="FX128" s="107">
        <v>0</v>
      </c>
      <c r="FY128" s="107">
        <v>0</v>
      </c>
      <c r="FZ128" s="107">
        <v>0</v>
      </c>
      <c r="GA128" s="107">
        <v>0</v>
      </c>
      <c r="GB128" s="107">
        <v>0</v>
      </c>
      <c r="GC128" s="107">
        <v>0</v>
      </c>
      <c r="GD128" s="107">
        <v>0</v>
      </c>
      <c r="GE128" s="107">
        <v>0</v>
      </c>
      <c r="GF128" s="107">
        <v>0</v>
      </c>
      <c r="GG128" s="107">
        <v>0</v>
      </c>
      <c r="GH128" s="107">
        <v>0</v>
      </c>
      <c r="GI128" s="107">
        <v>0</v>
      </c>
      <c r="GJ128" s="107">
        <v>0</v>
      </c>
      <c r="GK128" s="107">
        <v>0</v>
      </c>
      <c r="GL128" s="107">
        <v>0</v>
      </c>
      <c r="GM128" s="107">
        <v>0</v>
      </c>
      <c r="GN128" s="107">
        <v>0</v>
      </c>
      <c r="GO128" s="107">
        <v>0</v>
      </c>
      <c r="GP128" s="107">
        <v>0</v>
      </c>
      <c r="GQ128" s="107">
        <v>0</v>
      </c>
      <c r="GR128" s="107">
        <v>0</v>
      </c>
      <c r="GS128" s="107">
        <v>0</v>
      </c>
      <c r="GT128" s="107">
        <v>0</v>
      </c>
      <c r="GU128" s="107">
        <v>0</v>
      </c>
      <c r="GV128" s="107">
        <v>0</v>
      </c>
      <c r="GW128" s="107">
        <v>0</v>
      </c>
      <c r="GX128" s="107">
        <v>0</v>
      </c>
      <c r="GY128" s="107">
        <v>0</v>
      </c>
      <c r="GZ128" s="107">
        <v>0</v>
      </c>
      <c r="HA128" s="107">
        <v>0</v>
      </c>
      <c r="HB128" s="107">
        <v>0</v>
      </c>
      <c r="HC128" s="107">
        <v>0</v>
      </c>
      <c r="HD128" s="107">
        <v>0</v>
      </c>
      <c r="HE128" s="107">
        <v>0</v>
      </c>
      <c r="HF128" s="107">
        <v>0</v>
      </c>
      <c r="HG128" s="107">
        <v>0</v>
      </c>
      <c r="HH128" s="107">
        <v>0</v>
      </c>
      <c r="HI128" s="107">
        <v>0</v>
      </c>
      <c r="HJ128" s="107">
        <v>0</v>
      </c>
      <c r="HK128" s="107">
        <v>0</v>
      </c>
      <c r="HL128" s="107">
        <v>0</v>
      </c>
      <c r="HM128" s="107">
        <v>0</v>
      </c>
      <c r="HN128" s="107">
        <v>0</v>
      </c>
      <c r="HO128" s="107">
        <v>0</v>
      </c>
      <c r="HP128" s="107">
        <v>0</v>
      </c>
      <c r="HQ128" s="107">
        <v>0</v>
      </c>
      <c r="HR128" s="107">
        <v>0</v>
      </c>
      <c r="HS128" s="107">
        <v>0</v>
      </c>
      <c r="HT128" s="107">
        <f t="shared" si="183"/>
        <v>385537.3333333333</v>
      </c>
      <c r="HU128" s="107">
        <f t="shared" si="184"/>
        <v>210726.66666666666</v>
      </c>
      <c r="HV128" s="107">
        <f t="shared" si="185"/>
        <v>6480</v>
      </c>
      <c r="HW128" s="383">
        <f t="shared" si="186"/>
        <v>0</v>
      </c>
      <c r="HX128" s="70">
        <f t="shared" si="187"/>
        <v>602744</v>
      </c>
    </row>
    <row r="129" spans="1:232" ht="17.25" thickBot="1" thickTop="1">
      <c r="A129" s="6"/>
      <c r="B129" s="419"/>
      <c r="C129" s="423"/>
      <c r="D129" s="373"/>
      <c r="E129" s="366" t="s">
        <v>19</v>
      </c>
      <c r="G129" s="399" t="s">
        <v>509</v>
      </c>
      <c r="H129" s="441"/>
      <c r="I129" s="526">
        <v>0.34</v>
      </c>
      <c r="K129" s="116"/>
      <c r="L129" s="75"/>
      <c r="M129" s="75"/>
      <c r="N129" s="75"/>
      <c r="O129" s="75"/>
      <c r="P129" s="75"/>
      <c r="Q129" s="76"/>
      <c r="R129" s="341"/>
      <c r="S129" s="19" t="s">
        <v>492</v>
      </c>
      <c r="T129" s="350">
        <f>T125-T128</f>
        <v>191021.59999999998</v>
      </c>
      <c r="U129" s="340"/>
      <c r="Y129" s="169"/>
      <c r="FH129" s="62">
        <v>13</v>
      </c>
      <c r="FI129" s="107">
        <f aca="true" t="shared" si="190" ref="FI129:FI136">ROUND(FI128-($I$17+$I$20)*FI128,0)</f>
        <v>269</v>
      </c>
      <c r="FJ129" s="107">
        <f>IF($H$120="yes",FI129*$FR$92,0)</f>
        <v>0</v>
      </c>
      <c r="FK129" s="107">
        <f>IF($H$120="no",FI129*$FS$92,0)</f>
        <v>104730.66666666666</v>
      </c>
      <c r="FL129" s="107">
        <f>IF($H$120="yes",ROUND($I$17*FI129,0)*($FR$93+$FR$94+$FR$95),ROUND($I$17*FI129,0)*($FS$93+$FS$94+$FS$95))</f>
        <v>51976</v>
      </c>
      <c r="FM129" s="107">
        <f>IF($H$120="yes",ROUND($I$20*FI129,0)*($FR$93+$FR$94+$FR$95),ROUND($I$20*FI129,0)*($FS$93+$FS$94+$FS$95))</f>
        <v>1752</v>
      </c>
      <c r="FN129" s="107">
        <f t="shared" si="188"/>
        <v>1620</v>
      </c>
      <c r="FO129" s="107">
        <f t="shared" si="189"/>
        <v>0</v>
      </c>
      <c r="FP129" s="107">
        <f>ROUND($I$7*($I$17+$I$20),0)</f>
        <v>408</v>
      </c>
      <c r="FQ129" s="107">
        <f>IF($H$120="yes",FP129*$FR$91,0)</f>
        <v>0</v>
      </c>
      <c r="FR129" s="107">
        <f>IF($H$120="no",FP129*$FS$91,0)</f>
        <v>198560</v>
      </c>
      <c r="FS129" s="107">
        <f>IF($H$120="yes",ROUND($I$17*FP129,0)*($FR$92+$FR$93+$FR$94+$FR$95),ROUND($I$17*FP129,0)*($FS$92+$FS$93+$FS$94+$FS$95))</f>
        <v>131400</v>
      </c>
      <c r="FT129" s="107">
        <f>IF($H$120="yes",ROUND($I$20*FP129,0)*($FR$92+$FR$93+$FR$94+$FR$95),ROUND($I$20*FP129,0)*($FS$92+$FS$93+$FS$94+$FS$95))</f>
        <v>3893.333333333333</v>
      </c>
      <c r="FU129" s="107">
        <f aca="true" t="shared" si="191" ref="FU129:FU136">IF($H$117="no",ROUND($I$20*FP129,0)*($I$18*$I$19),0)</f>
        <v>2160</v>
      </c>
      <c r="FV129" s="107">
        <f aca="true" t="shared" si="192" ref="FV129:FV136">IF($H$117="yes",ROUND(FP129*$I$17,0)*$I$18*$I$19,0)</f>
        <v>0</v>
      </c>
      <c r="FW129" s="107">
        <v>0</v>
      </c>
      <c r="FX129" s="107">
        <v>0</v>
      </c>
      <c r="FY129" s="107">
        <v>0</v>
      </c>
      <c r="FZ129" s="107">
        <v>0</v>
      </c>
      <c r="GA129" s="107">
        <v>0</v>
      </c>
      <c r="GB129" s="107">
        <v>0</v>
      </c>
      <c r="GC129" s="107">
        <v>0</v>
      </c>
      <c r="GD129" s="107">
        <v>0</v>
      </c>
      <c r="GE129" s="107">
        <v>0</v>
      </c>
      <c r="GF129" s="107">
        <v>0</v>
      </c>
      <c r="GG129" s="107">
        <v>0</v>
      </c>
      <c r="GH129" s="107">
        <v>0</v>
      </c>
      <c r="GI129" s="107">
        <v>0</v>
      </c>
      <c r="GJ129" s="107">
        <v>0</v>
      </c>
      <c r="GK129" s="107">
        <v>0</v>
      </c>
      <c r="GL129" s="107">
        <v>0</v>
      </c>
      <c r="GM129" s="107">
        <v>0</v>
      </c>
      <c r="GN129" s="107">
        <v>0</v>
      </c>
      <c r="GO129" s="107">
        <v>0</v>
      </c>
      <c r="GP129" s="107">
        <v>0</v>
      </c>
      <c r="GQ129" s="107">
        <v>0</v>
      </c>
      <c r="GR129" s="107">
        <v>0</v>
      </c>
      <c r="GS129" s="107">
        <v>0</v>
      </c>
      <c r="GT129" s="107">
        <v>0</v>
      </c>
      <c r="GU129" s="107">
        <v>0</v>
      </c>
      <c r="GV129" s="107">
        <v>0</v>
      </c>
      <c r="GW129" s="107">
        <v>0</v>
      </c>
      <c r="GX129" s="107">
        <v>0</v>
      </c>
      <c r="GY129" s="107">
        <v>0</v>
      </c>
      <c r="GZ129" s="107">
        <v>0</v>
      </c>
      <c r="HA129" s="107">
        <v>0</v>
      </c>
      <c r="HB129" s="107">
        <v>0</v>
      </c>
      <c r="HC129" s="107">
        <v>0</v>
      </c>
      <c r="HD129" s="107">
        <v>0</v>
      </c>
      <c r="HE129" s="107">
        <v>0</v>
      </c>
      <c r="HF129" s="107">
        <v>0</v>
      </c>
      <c r="HG129" s="107">
        <v>0</v>
      </c>
      <c r="HH129" s="107">
        <v>0</v>
      </c>
      <c r="HI129" s="107">
        <v>0</v>
      </c>
      <c r="HJ129" s="107">
        <v>0</v>
      </c>
      <c r="HK129" s="107">
        <v>0</v>
      </c>
      <c r="HL129" s="107">
        <v>0</v>
      </c>
      <c r="HM129" s="107">
        <v>0</v>
      </c>
      <c r="HN129" s="107">
        <v>0</v>
      </c>
      <c r="HO129" s="107">
        <v>0</v>
      </c>
      <c r="HP129" s="107">
        <v>0</v>
      </c>
      <c r="HQ129" s="107">
        <v>0</v>
      </c>
      <c r="HR129" s="107">
        <v>0</v>
      </c>
      <c r="HS129" s="107">
        <v>0</v>
      </c>
      <c r="HT129" s="107">
        <f t="shared" si="183"/>
        <v>385537.3333333333</v>
      </c>
      <c r="HU129" s="107">
        <f t="shared" si="184"/>
        <v>210726.66666666666</v>
      </c>
      <c r="HV129" s="107">
        <f t="shared" si="185"/>
        <v>6480</v>
      </c>
      <c r="HW129" s="383">
        <f t="shared" si="186"/>
        <v>0</v>
      </c>
      <c r="HX129" s="70">
        <f t="shared" si="187"/>
        <v>602744</v>
      </c>
    </row>
    <row r="130" spans="1:232" ht="17.25" thickBot="1" thickTop="1">
      <c r="A130" s="9"/>
      <c r="B130" s="420"/>
      <c r="C130" s="424"/>
      <c r="D130" s="333" t="s">
        <v>51</v>
      </c>
      <c r="E130" s="132" t="s">
        <v>52</v>
      </c>
      <c r="G130" s="56" t="s">
        <v>510</v>
      </c>
      <c r="H130" s="450"/>
      <c r="I130" s="293" t="s">
        <v>19</v>
      </c>
      <c r="K130" s="120"/>
      <c r="L130" s="75"/>
      <c r="M130" s="75"/>
      <c r="N130" s="75"/>
      <c r="O130" s="75"/>
      <c r="P130" s="75"/>
      <c r="Q130" s="76"/>
      <c r="R130" s="341"/>
      <c r="S130" s="19" t="s">
        <v>494</v>
      </c>
      <c r="T130" s="350">
        <f>IF($H$140="yes",T129/((1+$I$128)^20),0)</f>
        <v>34084.154055632294</v>
      </c>
      <c r="U130" s="340"/>
      <c r="Y130" s="169"/>
      <c r="FH130" s="62">
        <v>14</v>
      </c>
      <c r="FI130" s="107">
        <f t="shared" si="190"/>
        <v>178</v>
      </c>
      <c r="FJ130" s="107">
        <f>IF($H$120="yes",FI130*$FR$93,0)</f>
        <v>0</v>
      </c>
      <c r="FK130" s="107">
        <f>IF($H$120="no",FI130*$FS$93,0)</f>
        <v>51976</v>
      </c>
      <c r="FL130" s="107">
        <f>IF($H$120="yes",ROUND($I$17*FI130,0)*($FR$94+$FR$95),ROUND($I$17*FI130,0)*($FS$94+$FS$95))</f>
        <v>17228</v>
      </c>
      <c r="FM130" s="107">
        <f>IF($H$120="yes",ROUND($I$20*FI130,0)*($FR$94+$FR$95),ROUND($I$20*FI130,0)*($FS$94+$FS$95))</f>
        <v>584</v>
      </c>
      <c r="FN130" s="107">
        <f t="shared" si="188"/>
        <v>1080</v>
      </c>
      <c r="FO130" s="107">
        <f t="shared" si="189"/>
        <v>0</v>
      </c>
      <c r="FP130" s="107">
        <f aca="true" t="shared" si="193" ref="FP130:FP136">ROUND(FP129-($I$17+$I$20)*FP129,0)</f>
        <v>269</v>
      </c>
      <c r="FQ130" s="107">
        <f>IF($H$120="yes",FP130*$FR$92,0)</f>
        <v>0</v>
      </c>
      <c r="FR130" s="107">
        <f>IF($H$120="no",FP130*$FS$92,0)</f>
        <v>104730.66666666666</v>
      </c>
      <c r="FS130" s="107">
        <f>IF($H$120="yes",ROUND($I$17*FP130,0)*($FR$93+$FR$94+$FR$95),ROUND($I$17*FP130,0)*($FS$93+$FS$94+$FS$95))</f>
        <v>51976</v>
      </c>
      <c r="FT130" s="107">
        <f>IF($H$120="yes",ROUND($I$20*FP130,0)*($FR$93+$FR$94+$FR$95),ROUND($I$20*FP130,0)*($FS$93+$FS$94+$FS$95))</f>
        <v>1752</v>
      </c>
      <c r="FU130" s="107">
        <f t="shared" si="191"/>
        <v>1620</v>
      </c>
      <c r="FV130" s="107">
        <f t="shared" si="192"/>
        <v>0</v>
      </c>
      <c r="FW130" s="107">
        <f>ROUND($I$7*($I$17+$I$20),0)</f>
        <v>408</v>
      </c>
      <c r="FX130" s="107">
        <f>IF($H$120="yes",FW130*$FR$91,0)</f>
        <v>0</v>
      </c>
      <c r="FY130" s="107">
        <f>IF($H$120="no",FW130*$FS$91,0)</f>
        <v>198560</v>
      </c>
      <c r="FZ130" s="107">
        <f>IF($H$120="yes",ROUND($I$17*FW130,0)*($FR$92+$FR$93+$FR$94+$FR$95),ROUND($I$17*FW130,0)*($FS$92+$FS$93+$FS$94+$FS$95))</f>
        <v>131400</v>
      </c>
      <c r="GA130" s="107">
        <f>IF($H$120="yes",ROUND($I$20*FW130,0)*($FR$92+$FR$93+$FR$94+$FR$95),ROUND($I$20*FW130,0)*($FS$92+$FS$93+$FS$94+$FS$95))</f>
        <v>3893.333333333333</v>
      </c>
      <c r="GB130" s="107">
        <f aca="true" t="shared" si="194" ref="GB130:GB136">IF($H$117="no",ROUND($I$20*FW130,0)*($I$18*$I$19),0)</f>
        <v>2160</v>
      </c>
      <c r="GC130" s="107">
        <f aca="true" t="shared" si="195" ref="GC130:GC136">IF($H$117="yes",ROUND(FW130*$I$17,0)*$I$18*$I$19,0)</f>
        <v>0</v>
      </c>
      <c r="GD130" s="107">
        <v>0</v>
      </c>
      <c r="GE130" s="107">
        <v>0</v>
      </c>
      <c r="GF130" s="107">
        <v>0</v>
      </c>
      <c r="GG130" s="107">
        <v>0</v>
      </c>
      <c r="GH130" s="107">
        <v>0</v>
      </c>
      <c r="GI130" s="107">
        <v>0</v>
      </c>
      <c r="GJ130" s="107">
        <v>0</v>
      </c>
      <c r="GK130" s="107">
        <v>0</v>
      </c>
      <c r="GL130" s="107">
        <v>0</v>
      </c>
      <c r="GM130" s="107">
        <v>0</v>
      </c>
      <c r="GN130" s="107">
        <v>0</v>
      </c>
      <c r="GO130" s="107">
        <v>0</v>
      </c>
      <c r="GP130" s="107">
        <v>0</v>
      </c>
      <c r="GQ130" s="107">
        <v>0</v>
      </c>
      <c r="GR130" s="107">
        <v>0</v>
      </c>
      <c r="GS130" s="107">
        <v>0</v>
      </c>
      <c r="GT130" s="107">
        <v>0</v>
      </c>
      <c r="GU130" s="107">
        <v>0</v>
      </c>
      <c r="GV130" s="107">
        <v>0</v>
      </c>
      <c r="GW130" s="107">
        <v>0</v>
      </c>
      <c r="GX130" s="107">
        <v>0</v>
      </c>
      <c r="GY130" s="107">
        <v>0</v>
      </c>
      <c r="GZ130" s="107">
        <v>0</v>
      </c>
      <c r="HA130" s="107">
        <v>0</v>
      </c>
      <c r="HB130" s="107">
        <v>0</v>
      </c>
      <c r="HC130" s="107">
        <v>0</v>
      </c>
      <c r="HD130" s="107">
        <v>0</v>
      </c>
      <c r="HE130" s="107">
        <v>0</v>
      </c>
      <c r="HF130" s="107">
        <v>0</v>
      </c>
      <c r="HG130" s="107">
        <v>0</v>
      </c>
      <c r="HH130" s="107">
        <v>0</v>
      </c>
      <c r="HI130" s="107">
        <v>0</v>
      </c>
      <c r="HJ130" s="107">
        <v>0</v>
      </c>
      <c r="HK130" s="107">
        <v>0</v>
      </c>
      <c r="HL130" s="107">
        <v>0</v>
      </c>
      <c r="HM130" s="107">
        <v>0</v>
      </c>
      <c r="HN130" s="107">
        <v>0</v>
      </c>
      <c r="HO130" s="107">
        <v>0</v>
      </c>
      <c r="HP130" s="107">
        <v>0</v>
      </c>
      <c r="HQ130" s="107">
        <v>0</v>
      </c>
      <c r="HR130" s="107">
        <v>0</v>
      </c>
      <c r="HS130" s="107">
        <v>0</v>
      </c>
      <c r="HT130" s="107">
        <f t="shared" si="183"/>
        <v>385537.3333333333</v>
      </c>
      <c r="HU130" s="107">
        <f t="shared" si="184"/>
        <v>210726.66666666666</v>
      </c>
      <c r="HV130" s="107">
        <f t="shared" si="185"/>
        <v>6480</v>
      </c>
      <c r="HW130" s="383">
        <f t="shared" si="186"/>
        <v>0</v>
      </c>
      <c r="HX130" s="70">
        <f t="shared" si="187"/>
        <v>602744</v>
      </c>
    </row>
    <row r="131" spans="1:232" ht="17.25" thickBot="1" thickTop="1">
      <c r="A131" s="11" t="s">
        <v>63</v>
      </c>
      <c r="B131" s="421" t="s">
        <v>64</v>
      </c>
      <c r="C131" s="421" t="s">
        <v>65</v>
      </c>
      <c r="D131" s="374" t="s">
        <v>66</v>
      </c>
      <c r="E131" s="295" t="s">
        <v>66</v>
      </c>
      <c r="G131" s="334"/>
      <c r="H131" s="451" t="s">
        <v>413</v>
      </c>
      <c r="I131" s="293" t="s">
        <v>413</v>
      </c>
      <c r="K131" s="120"/>
      <c r="L131" s="75"/>
      <c r="M131" s="75"/>
      <c r="N131" s="75"/>
      <c r="O131" s="75"/>
      <c r="P131" s="75"/>
      <c r="Q131" s="76" t="s">
        <v>511</v>
      </c>
      <c r="R131" s="75"/>
      <c r="S131" s="75"/>
      <c r="T131" s="351"/>
      <c r="U131" s="340"/>
      <c r="Y131" s="169"/>
      <c r="FH131" s="62">
        <v>15</v>
      </c>
      <c r="FI131" s="107">
        <f t="shared" si="190"/>
        <v>117</v>
      </c>
      <c r="FJ131" s="107">
        <f>IF($H$120="yes",FI131*$FR$94,0)</f>
        <v>0</v>
      </c>
      <c r="FK131" s="107">
        <f>IF($H$120="no",FI131*$FS$94,0)</f>
        <v>22776</v>
      </c>
      <c r="FL131" s="107">
        <f>IF($H$120="yes",ROUND($I$17*FI131,0)*($FR$95),ROUND($I$17*FI131,0)*($FS$95))</f>
        <v>3796</v>
      </c>
      <c r="FM131" s="107">
        <f>IF($H$120="yes",ROUND($I$20*FI131,0)*($FR$95),ROUND($I$20*FI131,0)*($FS$95))</f>
        <v>97.33333333333333</v>
      </c>
      <c r="FN131" s="107">
        <f t="shared" si="188"/>
        <v>540</v>
      </c>
      <c r="FO131" s="107">
        <f t="shared" si="189"/>
        <v>0</v>
      </c>
      <c r="FP131" s="107">
        <f t="shared" si="193"/>
        <v>178</v>
      </c>
      <c r="FQ131" s="107">
        <f>IF($H$120="yes",FP131*$FR$93,0)</f>
        <v>0</v>
      </c>
      <c r="FR131" s="107">
        <f>IF($H$120="no",FP131*$FS$93,0)</f>
        <v>51976</v>
      </c>
      <c r="FS131" s="107">
        <f>IF($H$120="yes",ROUND($I$17*FP131,0)*($FR$94+$FR$95),ROUND($I$17*FP131,0)*($FS$94+$FS$95))</f>
        <v>17228</v>
      </c>
      <c r="FT131" s="107">
        <f>IF($H$120="yes",ROUND($I$20*FP131,0)*($FR$94+$FR$95),ROUND($I$20*FP131,0)*($FS$94+$FS$95))</f>
        <v>584</v>
      </c>
      <c r="FU131" s="107">
        <f t="shared" si="191"/>
        <v>1080</v>
      </c>
      <c r="FV131" s="107">
        <f t="shared" si="192"/>
        <v>0</v>
      </c>
      <c r="FW131" s="107">
        <f aca="true" t="shared" si="196" ref="FW131:FW136">ROUND(FW130-($I$17+$I$20)*FW130,0)</f>
        <v>269</v>
      </c>
      <c r="FX131" s="107">
        <f>IF($H$120="yes",FW131*$FR$92,0)</f>
        <v>0</v>
      </c>
      <c r="FY131" s="107">
        <f>IF($H$120="no",FW131*$FS$92,0)</f>
        <v>104730.66666666666</v>
      </c>
      <c r="FZ131" s="107">
        <f>IF($H$120="yes",ROUND($I$17*FW131,0)*($FR$93+$FR$94+$FR$95),ROUND($I$17*FW131,0)*($FS$93+$FS$94+$FS$95))</f>
        <v>51976</v>
      </c>
      <c r="GA131" s="107">
        <f>IF($H$120="yes",ROUND($I$20*FW131,0)*($FR$93+$FR$94+$FR$95),ROUND($I$20*FW131,0)*($FS$93+$FS$94+$FS$95))</f>
        <v>1752</v>
      </c>
      <c r="GB131" s="107">
        <f t="shared" si="194"/>
        <v>1620</v>
      </c>
      <c r="GC131" s="107">
        <f t="shared" si="195"/>
        <v>0</v>
      </c>
      <c r="GD131" s="107">
        <f>ROUND($I$7*($I$17+$I$20),0)</f>
        <v>408</v>
      </c>
      <c r="GE131" s="107">
        <f>IF($H$120="yes",GD131*$FR$91,0)</f>
        <v>0</v>
      </c>
      <c r="GF131" s="107">
        <f>IF($H$120="no",GD131*$FS$91,0)</f>
        <v>198560</v>
      </c>
      <c r="GG131" s="107">
        <f>IF($H$120="yes",ROUND($I$17*GD131,0)*($FR$92+$FR$93+$FR$94+$FR$95),ROUND($I$17*GD131,0)*($FS$92+$FS$93+$FS$94+$FS$95))</f>
        <v>131400</v>
      </c>
      <c r="GH131" s="107">
        <f>IF($H$120="yes",ROUND($I$20*GD131,0)*($FR$92+$FR$93+$FR$94+$FR$95),ROUND($I$20*GD131,0)*($FS$92+$FS$93+$FS$94+$FS$95))</f>
        <v>3893.333333333333</v>
      </c>
      <c r="GI131" s="107">
        <f aca="true" t="shared" si="197" ref="GI131:GI136">IF($H$117="no",ROUND($I$20*GD131,0)*($I$18*$I$19),0)</f>
        <v>2160</v>
      </c>
      <c r="GJ131" s="107">
        <f aca="true" t="shared" si="198" ref="GJ131:GJ136">IF($H$117="yes",ROUND(GD131*$I$17,0)*$I$18*$I$19,0)</f>
        <v>0</v>
      </c>
      <c r="GK131" s="107">
        <v>0</v>
      </c>
      <c r="GL131" s="107">
        <v>0</v>
      </c>
      <c r="GM131" s="107">
        <v>0</v>
      </c>
      <c r="GN131" s="107">
        <v>0</v>
      </c>
      <c r="GO131" s="107">
        <v>0</v>
      </c>
      <c r="GP131" s="107">
        <v>0</v>
      </c>
      <c r="GQ131" s="107">
        <v>0</v>
      </c>
      <c r="GR131" s="107">
        <v>0</v>
      </c>
      <c r="GS131" s="107">
        <v>0</v>
      </c>
      <c r="GT131" s="107">
        <v>0</v>
      </c>
      <c r="GU131" s="107">
        <v>0</v>
      </c>
      <c r="GV131" s="107">
        <v>0</v>
      </c>
      <c r="GW131" s="107">
        <v>0</v>
      </c>
      <c r="GX131" s="107">
        <v>0</v>
      </c>
      <c r="GY131" s="107">
        <v>0</v>
      </c>
      <c r="GZ131" s="107">
        <v>0</v>
      </c>
      <c r="HA131" s="107">
        <v>0</v>
      </c>
      <c r="HB131" s="107">
        <v>0</v>
      </c>
      <c r="HC131" s="107">
        <v>0</v>
      </c>
      <c r="HD131" s="107">
        <v>0</v>
      </c>
      <c r="HE131" s="107">
        <v>0</v>
      </c>
      <c r="HF131" s="107">
        <v>0</v>
      </c>
      <c r="HG131" s="107">
        <v>0</v>
      </c>
      <c r="HH131" s="107">
        <v>0</v>
      </c>
      <c r="HI131" s="107">
        <v>0</v>
      </c>
      <c r="HJ131" s="107">
        <v>0</v>
      </c>
      <c r="HK131" s="107">
        <v>0</v>
      </c>
      <c r="HL131" s="107">
        <v>0</v>
      </c>
      <c r="HM131" s="107">
        <v>0</v>
      </c>
      <c r="HN131" s="107">
        <v>0</v>
      </c>
      <c r="HO131" s="107">
        <v>0</v>
      </c>
      <c r="HP131" s="107">
        <v>0</v>
      </c>
      <c r="HQ131" s="107">
        <v>0</v>
      </c>
      <c r="HR131" s="107">
        <v>0</v>
      </c>
      <c r="HS131" s="107">
        <v>0</v>
      </c>
      <c r="HT131" s="107">
        <f t="shared" si="183"/>
        <v>385537.3333333333</v>
      </c>
      <c r="HU131" s="107">
        <f t="shared" si="184"/>
        <v>210726.66666666666</v>
      </c>
      <c r="HV131" s="107">
        <f t="shared" si="185"/>
        <v>6480</v>
      </c>
      <c r="HW131" s="383">
        <f t="shared" si="186"/>
        <v>0</v>
      </c>
      <c r="HX131" s="70">
        <f t="shared" si="187"/>
        <v>602744</v>
      </c>
    </row>
    <row r="132" spans="1:232" ht="16.5" thickTop="1">
      <c r="A132" s="488">
        <v>1</v>
      </c>
      <c r="B132" s="416" t="s">
        <v>512</v>
      </c>
      <c r="C132" s="406" t="s">
        <v>209</v>
      </c>
      <c r="D132" s="490">
        <v>70000</v>
      </c>
      <c r="E132" s="367">
        <f aca="true" t="shared" si="199" ref="E132:E150">D132*A132</f>
        <v>70000</v>
      </c>
      <c r="G132" s="26" t="s">
        <v>513</v>
      </c>
      <c r="H132" s="449" t="s">
        <v>514</v>
      </c>
      <c r="I132" s="294" t="s">
        <v>515</v>
      </c>
      <c r="K132" s="120"/>
      <c r="L132" s="75"/>
      <c r="M132" s="75"/>
      <c r="N132" s="75"/>
      <c r="O132" s="75"/>
      <c r="P132" s="75"/>
      <c r="Q132" s="76"/>
      <c r="R132" s="341"/>
      <c r="S132" s="19" t="s">
        <v>500</v>
      </c>
      <c r="T132" s="350">
        <f>$E$13</f>
        <v>1008000</v>
      </c>
      <c r="FH132" s="62">
        <v>16</v>
      </c>
      <c r="FI132" s="107">
        <f t="shared" si="190"/>
        <v>77</v>
      </c>
      <c r="FJ132" s="107">
        <f>IF($H$120="yes",FI132*$FR$95,0)</f>
        <v>0</v>
      </c>
      <c r="FK132" s="107">
        <f>IF($H$120="no",FI132*$FS$95,0)</f>
        <v>7494.666666666666</v>
      </c>
      <c r="FL132" s="107">
        <v>0</v>
      </c>
      <c r="FM132" s="107">
        <v>0</v>
      </c>
      <c r="FN132" s="107">
        <f t="shared" si="188"/>
        <v>540</v>
      </c>
      <c r="FO132" s="107">
        <f t="shared" si="189"/>
        <v>0</v>
      </c>
      <c r="FP132" s="107">
        <f t="shared" si="193"/>
        <v>117</v>
      </c>
      <c r="FQ132" s="107">
        <f>IF($H$120="yes",FP132*$FR$94,0)</f>
        <v>0</v>
      </c>
      <c r="FR132" s="107">
        <f>IF($H$120="no",FP132*$FS$94,0)</f>
        <v>22776</v>
      </c>
      <c r="FS132" s="107">
        <f>IF($H$120="yes",ROUND($I$17*FP132,0)*($FR$95),ROUND($I$17*FP132,0)*($FS$95))</f>
        <v>3796</v>
      </c>
      <c r="FT132" s="107">
        <f>IF($H$120="yes",ROUND($I$20*FP132,0)*($FR$95),ROUND($I$20*FP132,0)*($FS$95))</f>
        <v>97.33333333333333</v>
      </c>
      <c r="FU132" s="107">
        <f t="shared" si="191"/>
        <v>540</v>
      </c>
      <c r="FV132" s="107">
        <f t="shared" si="192"/>
        <v>0</v>
      </c>
      <c r="FW132" s="107">
        <f t="shared" si="196"/>
        <v>178</v>
      </c>
      <c r="FX132" s="107">
        <f>IF($H$120="yes",FW132*$FR$93,0)</f>
        <v>0</v>
      </c>
      <c r="FY132" s="107">
        <f>IF($H$120="no",FW132*$FS$93,0)</f>
        <v>51976</v>
      </c>
      <c r="FZ132" s="107">
        <f>IF($H$120="yes",ROUND($I$17*FW132,0)*($FR$94+$FR$95),ROUND($I$17*FW132,0)*($FS$94+$FS$95))</f>
        <v>17228</v>
      </c>
      <c r="GA132" s="107">
        <f>IF($H$120="yes",ROUND($I$20*FW132,0)*($FR$94+$FR$95),ROUND($I$20*FW132,0)*($FS$94+$FS$95))</f>
        <v>584</v>
      </c>
      <c r="GB132" s="107">
        <f t="shared" si="194"/>
        <v>1080</v>
      </c>
      <c r="GC132" s="107">
        <f t="shared" si="195"/>
        <v>0</v>
      </c>
      <c r="GD132" s="107">
        <f>ROUND(GD131-($I$17+$I$20)*GD131,0)</f>
        <v>269</v>
      </c>
      <c r="GE132" s="107">
        <f>IF($H$120="yes",GD132*$FR$92,0)</f>
        <v>0</v>
      </c>
      <c r="GF132" s="107">
        <f>IF($H$120="no",GD132*$FS$92,0)</f>
        <v>104730.66666666666</v>
      </c>
      <c r="GG132" s="107">
        <f>IF($H$120="yes",ROUND($I$17*GD132,0)*($FR$93+$FR$94+$FR$95),ROUND($I$17*GD132,0)*($FS$93+$FS$94+$FS$95))</f>
        <v>51976</v>
      </c>
      <c r="GH132" s="107">
        <f>IF($H$120="yes",ROUND($I$20*GD132,0)*($FR$93+$FR$94+$FR$95),ROUND($I$20*GD132,0)*($FS$93+$FS$94+$FS$95))</f>
        <v>1752</v>
      </c>
      <c r="GI132" s="107">
        <f t="shared" si="197"/>
        <v>1620</v>
      </c>
      <c r="GJ132" s="107">
        <f t="shared" si="198"/>
        <v>0</v>
      </c>
      <c r="GK132" s="107">
        <f>ROUND($I$7*($I$17+$I$20),0)</f>
        <v>408</v>
      </c>
      <c r="GL132" s="107">
        <f>IF($H$120="yes",GK132*$FR$91,0)</f>
        <v>0</v>
      </c>
      <c r="GM132" s="107">
        <f>IF($H$120="no",GK132*$FS$91,0)</f>
        <v>198560</v>
      </c>
      <c r="GN132" s="107">
        <f>IF($H$120="yes",ROUND($I$17*GK132,0)*($FR$92+$FR$93+$FR$94+$FR$95),ROUND($I$17*GK132,0)*($FS$92+$FS$93+$FS$94+$FS$95))</f>
        <v>131400</v>
      </c>
      <c r="GO132" s="107">
        <f>IF($H$120="yes",ROUND($I$20*GK132,0)*($FR$92+$FR$93+$FR$94+$FR$95),ROUND($I$20*GK132,0)*($FS$92+$FS$93+$FS$94+$FS$95))</f>
        <v>3893.333333333333</v>
      </c>
      <c r="GP132" s="107">
        <f>IF($H$117="no",ROUND($I$20*GK132,0)*($I$18*$I$19),0)</f>
        <v>2160</v>
      </c>
      <c r="GQ132" s="107">
        <f>IF($H$117="yes",ROUND(GK132*$I$17,0)*$I$18*$I$19,0)</f>
        <v>0</v>
      </c>
      <c r="GR132" s="107">
        <v>0</v>
      </c>
      <c r="GS132" s="107">
        <v>0</v>
      </c>
      <c r="GT132" s="107">
        <v>0</v>
      </c>
      <c r="GU132" s="107">
        <v>0</v>
      </c>
      <c r="GV132" s="107">
        <v>0</v>
      </c>
      <c r="GW132" s="107">
        <v>0</v>
      </c>
      <c r="GX132" s="107">
        <v>0</v>
      </c>
      <c r="GY132" s="107">
        <v>0</v>
      </c>
      <c r="GZ132" s="107">
        <v>0</v>
      </c>
      <c r="HA132" s="107">
        <v>0</v>
      </c>
      <c r="HB132" s="107">
        <v>0</v>
      </c>
      <c r="HC132" s="107">
        <v>0</v>
      </c>
      <c r="HD132" s="107">
        <v>0</v>
      </c>
      <c r="HE132" s="107">
        <v>0</v>
      </c>
      <c r="HF132" s="107">
        <v>0</v>
      </c>
      <c r="HG132" s="107">
        <v>0</v>
      </c>
      <c r="HH132" s="107">
        <v>0</v>
      </c>
      <c r="HI132" s="107">
        <v>0</v>
      </c>
      <c r="HJ132" s="107">
        <v>0</v>
      </c>
      <c r="HK132" s="107">
        <v>0</v>
      </c>
      <c r="HL132" s="107">
        <v>0</v>
      </c>
      <c r="HM132" s="107">
        <v>0</v>
      </c>
      <c r="HN132" s="107">
        <v>0</v>
      </c>
      <c r="HO132" s="107">
        <v>0</v>
      </c>
      <c r="HP132" s="107">
        <v>0</v>
      </c>
      <c r="HQ132" s="107">
        <v>0</v>
      </c>
      <c r="HR132" s="107">
        <v>0</v>
      </c>
      <c r="HS132" s="107">
        <v>0</v>
      </c>
      <c r="HT132" s="107">
        <f t="shared" si="183"/>
        <v>385537.3333333333</v>
      </c>
      <c r="HU132" s="107">
        <f t="shared" si="184"/>
        <v>210726.66666666666</v>
      </c>
      <c r="HV132" s="107">
        <f t="shared" si="185"/>
        <v>6480</v>
      </c>
      <c r="HW132" s="383">
        <f t="shared" si="186"/>
        <v>0</v>
      </c>
      <c r="HX132" s="70">
        <f t="shared" si="187"/>
        <v>602744</v>
      </c>
    </row>
    <row r="133" spans="1:232" ht="15.75">
      <c r="A133" s="492">
        <v>1</v>
      </c>
      <c r="B133" s="412" t="s">
        <v>516</v>
      </c>
      <c r="C133" s="406" t="s">
        <v>209</v>
      </c>
      <c r="D133" s="493">
        <v>55000</v>
      </c>
      <c r="E133" s="458">
        <f t="shared" si="199"/>
        <v>55000</v>
      </c>
      <c r="G133" s="394" t="s">
        <v>517</v>
      </c>
      <c r="H133" s="508" t="s">
        <v>110</v>
      </c>
      <c r="I133" s="435"/>
      <c r="K133" s="115"/>
      <c r="L133" s="75"/>
      <c r="M133" s="75"/>
      <c r="N133" s="75"/>
      <c r="O133" s="75"/>
      <c r="P133" s="75"/>
      <c r="Q133" s="76"/>
      <c r="R133" s="341"/>
      <c r="S133" s="19" t="s">
        <v>505</v>
      </c>
      <c r="T133" s="350">
        <f>$I$135-$E$13</f>
        <v>252000</v>
      </c>
      <c r="FH133" s="62">
        <v>17</v>
      </c>
      <c r="FI133" s="107">
        <f t="shared" si="190"/>
        <v>51</v>
      </c>
      <c r="FJ133" s="107">
        <v>0</v>
      </c>
      <c r="FK133" s="107">
        <v>0</v>
      </c>
      <c r="FL133" s="107">
        <v>0</v>
      </c>
      <c r="FM133" s="107">
        <v>0</v>
      </c>
      <c r="FN133" s="107">
        <f t="shared" si="188"/>
        <v>540</v>
      </c>
      <c r="FO133" s="107">
        <f t="shared" si="189"/>
        <v>0</v>
      </c>
      <c r="FP133" s="107">
        <f t="shared" si="193"/>
        <v>77</v>
      </c>
      <c r="FQ133" s="107">
        <f>IF($H$120="yes",FP133*$FR$95,0)</f>
        <v>0</v>
      </c>
      <c r="FR133" s="107">
        <f>IF($H$120="no",FP133*$FS$95,0)</f>
        <v>7494.666666666666</v>
      </c>
      <c r="FS133" s="107">
        <v>0</v>
      </c>
      <c r="FT133" s="107">
        <v>0</v>
      </c>
      <c r="FU133" s="107">
        <f t="shared" si="191"/>
        <v>540</v>
      </c>
      <c r="FV133" s="107">
        <f t="shared" si="192"/>
        <v>0</v>
      </c>
      <c r="FW133" s="107">
        <f t="shared" si="196"/>
        <v>117</v>
      </c>
      <c r="FX133" s="107">
        <f>IF($H$120="yes",FW133*$FR$94,0)</f>
        <v>0</v>
      </c>
      <c r="FY133" s="107">
        <f>IF($H$120="no",FW133*$FS$94,0)</f>
        <v>22776</v>
      </c>
      <c r="FZ133" s="107">
        <f>IF($H$120="yes",ROUND($I$17*FW133,0)*($FR$95),ROUND($I$17*FW133,0)*($FS$95))</f>
        <v>3796</v>
      </c>
      <c r="GA133" s="107">
        <f>IF($H$120="yes",ROUND($I$20*FW133,0)*($FR$95),ROUND($I$20*FW133,0)*($FS$95))</f>
        <v>97.33333333333333</v>
      </c>
      <c r="GB133" s="107">
        <f t="shared" si="194"/>
        <v>540</v>
      </c>
      <c r="GC133" s="107">
        <f t="shared" si="195"/>
        <v>0</v>
      </c>
      <c r="GD133" s="107">
        <f>ROUND(GD132-($I$17+$I$20)*GD132,0)</f>
        <v>178</v>
      </c>
      <c r="GE133" s="107">
        <f>IF($H$120="yes",GD133*$FR$93,0)</f>
        <v>0</v>
      </c>
      <c r="GF133" s="107">
        <f>IF($H$120="no",GD133*$FS$93,0)</f>
        <v>51976</v>
      </c>
      <c r="GG133" s="107">
        <f>IF($H$120="yes",ROUND($I$17*GD133,0)*($FR$94+$FR$95),ROUND($I$17*GD133,0)*($FS$94+$FS$95))</f>
        <v>17228</v>
      </c>
      <c r="GH133" s="107">
        <f>IF($H$120="yes",ROUND($I$20*GD133,0)*($FR$94+$FR$95),ROUND($I$20*GD133,0)*($FS$94+$FS$95))</f>
        <v>584</v>
      </c>
      <c r="GI133" s="107">
        <f t="shared" si="197"/>
        <v>1080</v>
      </c>
      <c r="GJ133" s="107">
        <f t="shared" si="198"/>
        <v>0</v>
      </c>
      <c r="GK133" s="107">
        <f>ROUND(GK132-($I$17+$I$20)*GK132,0)</f>
        <v>269</v>
      </c>
      <c r="GL133" s="107">
        <f>IF($H$120="yes",GK133*$FR$92,0)</f>
        <v>0</v>
      </c>
      <c r="GM133" s="107">
        <f>IF($H$120="no",GK133*$FS$92,0)</f>
        <v>104730.66666666666</v>
      </c>
      <c r="GN133" s="107">
        <f>IF($H$120="yes",ROUND($I$17*GK133,0)*($FR$93+$FR$94+$FR$95),ROUND($I$17*GK133,0)*($FS$93+$FS$94+$FS$95))</f>
        <v>51976</v>
      </c>
      <c r="GO133" s="107">
        <f>IF($H$120="yes",ROUND($I$20*GK133,0)*($FR$93+$FR$94+$FR$95),ROUND($I$20*GK133,0)*($FS$93+$FS$94+$FS$95))</f>
        <v>1752</v>
      </c>
      <c r="GP133" s="107">
        <f>IF($H$117="no",ROUND($I$20*GK133,0)*($I$18*$I$19),0)</f>
        <v>1620</v>
      </c>
      <c r="GQ133" s="107">
        <f>IF($H$117="yes",ROUND(GK133*$I$17,0)*$I$18*$I$19,0)</f>
        <v>0</v>
      </c>
      <c r="GR133" s="107">
        <f>ROUND($I$7*($I$17+$I$20),0)</f>
        <v>408</v>
      </c>
      <c r="GS133" s="107">
        <f>IF($H$120="yes",GR133*$FR$91,0)</f>
        <v>0</v>
      </c>
      <c r="GT133" s="107">
        <f>IF($H$120="no",GR133*$FS$91,0)</f>
        <v>198560</v>
      </c>
      <c r="GU133" s="107">
        <f>IF($H$120="yes",ROUND($I$17*GR133,0)*($FR$92+$FR$93+$FR$94+$FR$95),ROUND($I$17*GR133,0)*($FS$92+$FS$93+$FS$94+$FS$95))</f>
        <v>131400</v>
      </c>
      <c r="GV133" s="107">
        <f>IF($H$120="yes",ROUND($I$20*GR133,0)*($FR$92+$FR$93+$FR$94+$FR$95),ROUND($I$20*GR133,0)*($FS$92+$FS$93+$FS$94+$FS$95))</f>
        <v>3893.333333333333</v>
      </c>
      <c r="GW133" s="107">
        <f>IF($H$117="no",ROUND($I$20*GR133,0)*($I$18*$I$19),0)</f>
        <v>2160</v>
      </c>
      <c r="GX133" s="107">
        <f>IF($H$117="yes",ROUND(GR133*$I$17,0)*$I$18*$I$19,0)</f>
        <v>0</v>
      </c>
      <c r="GY133" s="107">
        <v>0</v>
      </c>
      <c r="GZ133" s="107">
        <v>0</v>
      </c>
      <c r="HA133" s="107">
        <v>0</v>
      </c>
      <c r="HB133" s="107">
        <v>0</v>
      </c>
      <c r="HC133" s="107">
        <v>0</v>
      </c>
      <c r="HD133" s="107">
        <v>0</v>
      </c>
      <c r="HE133" s="107">
        <v>0</v>
      </c>
      <c r="HF133" s="107">
        <v>0</v>
      </c>
      <c r="HG133" s="107">
        <v>0</v>
      </c>
      <c r="HH133" s="107">
        <v>0</v>
      </c>
      <c r="HI133" s="107">
        <v>0</v>
      </c>
      <c r="HJ133" s="107">
        <v>0</v>
      </c>
      <c r="HK133" s="107">
        <v>0</v>
      </c>
      <c r="HL133" s="107">
        <v>0</v>
      </c>
      <c r="HM133" s="107">
        <v>0</v>
      </c>
      <c r="HN133" s="107">
        <v>0</v>
      </c>
      <c r="HO133" s="107">
        <v>0</v>
      </c>
      <c r="HP133" s="107">
        <v>0</v>
      </c>
      <c r="HQ133" s="107">
        <v>0</v>
      </c>
      <c r="HR133" s="107">
        <v>0</v>
      </c>
      <c r="HS133" s="107">
        <v>0</v>
      </c>
      <c r="HT133" s="107">
        <f t="shared" si="183"/>
        <v>385537.3333333333</v>
      </c>
      <c r="HU133" s="107">
        <f t="shared" si="184"/>
        <v>210726.66666666666</v>
      </c>
      <c r="HV133" s="107">
        <f t="shared" si="185"/>
        <v>6480</v>
      </c>
      <c r="HW133" s="383">
        <f t="shared" si="186"/>
        <v>0</v>
      </c>
      <c r="HX133" s="70">
        <f t="shared" si="187"/>
        <v>602744</v>
      </c>
    </row>
    <row r="134" spans="1:232" ht="15.75">
      <c r="A134" s="492">
        <v>1</v>
      </c>
      <c r="B134" s="412" t="s">
        <v>518</v>
      </c>
      <c r="C134" s="406" t="s">
        <v>209</v>
      </c>
      <c r="D134" s="493">
        <v>15000</v>
      </c>
      <c r="E134" s="458">
        <f t="shared" si="199"/>
        <v>15000</v>
      </c>
      <c r="G134" s="394" t="s">
        <v>519</v>
      </c>
      <c r="H134" s="510" t="s">
        <v>110</v>
      </c>
      <c r="I134" s="360"/>
      <c r="K134" s="115"/>
      <c r="L134" s="75"/>
      <c r="M134" s="75"/>
      <c r="N134" s="75"/>
      <c r="O134" s="75"/>
      <c r="P134" s="75"/>
      <c r="Q134" s="76"/>
      <c r="R134" s="341"/>
      <c r="S134" s="19" t="s">
        <v>520</v>
      </c>
      <c r="T134" s="350">
        <f>$I$135</f>
        <v>1260000</v>
      </c>
      <c r="FH134" s="62">
        <v>18</v>
      </c>
      <c r="FI134" s="107">
        <f t="shared" si="190"/>
        <v>34</v>
      </c>
      <c r="FJ134" s="107">
        <v>0</v>
      </c>
      <c r="FK134" s="107">
        <v>0</v>
      </c>
      <c r="FL134" s="107">
        <v>0</v>
      </c>
      <c r="FM134" s="107">
        <v>0</v>
      </c>
      <c r="FN134" s="107">
        <f t="shared" si="188"/>
        <v>0</v>
      </c>
      <c r="FO134" s="107">
        <f t="shared" si="189"/>
        <v>0</v>
      </c>
      <c r="FP134" s="107">
        <f t="shared" si="193"/>
        <v>51</v>
      </c>
      <c r="FQ134" s="107">
        <v>0</v>
      </c>
      <c r="FR134" s="107">
        <v>0</v>
      </c>
      <c r="FS134" s="107">
        <v>0</v>
      </c>
      <c r="FT134" s="107">
        <v>0</v>
      </c>
      <c r="FU134" s="107">
        <f t="shared" si="191"/>
        <v>540</v>
      </c>
      <c r="FV134" s="107">
        <f t="shared" si="192"/>
        <v>0</v>
      </c>
      <c r="FW134" s="107">
        <f t="shared" si="196"/>
        <v>77</v>
      </c>
      <c r="FX134" s="107">
        <f>IF($H$120="yes",FW134*$FR$95,0)</f>
        <v>0</v>
      </c>
      <c r="FY134" s="107">
        <f>IF($H$120="no",FW134*$FS$95,0)</f>
        <v>7494.666666666666</v>
      </c>
      <c r="FZ134" s="107">
        <v>0</v>
      </c>
      <c r="GA134" s="107">
        <v>0</v>
      </c>
      <c r="GB134" s="107">
        <f t="shared" si="194"/>
        <v>540</v>
      </c>
      <c r="GC134" s="107">
        <f t="shared" si="195"/>
        <v>0</v>
      </c>
      <c r="GD134" s="107">
        <f>ROUND(GD133-($I$17+$I$20)*GD133,0)</f>
        <v>117</v>
      </c>
      <c r="GE134" s="107">
        <f>IF($H$120="yes",GD134*$FR$94,0)</f>
        <v>0</v>
      </c>
      <c r="GF134" s="107">
        <f>IF($H$120="no",GD134*$FS$94,0)</f>
        <v>22776</v>
      </c>
      <c r="GG134" s="107">
        <f>IF($H$120="yes",ROUND($I$17*GD134,0)*($FR$95),ROUND($I$17*GD134,0)*($FS$95))</f>
        <v>3796</v>
      </c>
      <c r="GH134" s="107">
        <f>IF($H$120="yes",ROUND($I$20*GD134,0)*($FR$95),ROUND($I$20*GD134,0)*($FS$95))</f>
        <v>97.33333333333333</v>
      </c>
      <c r="GI134" s="107">
        <f t="shared" si="197"/>
        <v>540</v>
      </c>
      <c r="GJ134" s="107">
        <f t="shared" si="198"/>
        <v>0</v>
      </c>
      <c r="GK134" s="107">
        <f>ROUND(GK133-($I$17+$I$20)*GK133,0)</f>
        <v>178</v>
      </c>
      <c r="GL134" s="107">
        <f>IF($H$120="yes",GK134*$FR$93,0)</f>
        <v>0</v>
      </c>
      <c r="GM134" s="107">
        <f>IF($H$120="no",GK134*$FS$93,0)</f>
        <v>51976</v>
      </c>
      <c r="GN134" s="107">
        <f>IF($H$120="yes",ROUND($I$17*GK134,0)*($FR$94+$FR$95),ROUND($I$17*GK134,0)*($FS$94+$FS$95))</f>
        <v>17228</v>
      </c>
      <c r="GO134" s="107">
        <f>IF($H$120="yes",ROUND($I$20*GK134,0)*($FR$94+$FR$95),ROUND($I$20*GK134,0)*($FS$94+$FS$95))</f>
        <v>584</v>
      </c>
      <c r="GP134" s="107">
        <f>IF($H$117="no",ROUND($I$20*GK134,0)*($I$18*$I$19),0)</f>
        <v>1080</v>
      </c>
      <c r="GQ134" s="107">
        <f>IF($H$117="yes",ROUND(GK134*$I$17,0)*$I$18*$I$19,0)</f>
        <v>0</v>
      </c>
      <c r="GR134" s="107">
        <f>ROUND(GR133-($I$17+$I$20)*GR133,0)</f>
        <v>269</v>
      </c>
      <c r="GS134" s="107">
        <f>IF($H$120="yes",GR134*$FR$92,0)</f>
        <v>0</v>
      </c>
      <c r="GT134" s="107">
        <f>IF($H$120="no",GR134*$FS$92,0)</f>
        <v>104730.66666666666</v>
      </c>
      <c r="GU134" s="107">
        <f>IF($H$120="yes",ROUND($I$17*GR134,0)*($FR$93+$FR$94+$FR$95),ROUND($I$17*GR134,0)*($FS$93+$FS$94+$FS$95))</f>
        <v>51976</v>
      </c>
      <c r="GV134" s="107">
        <f>IF($H$120="yes",ROUND($I$20*GR134,0)*($FR$93+$FR$94+$FR$95),ROUND($I$20*GR134,0)*($FS$93+$FS$94+$FS$95))</f>
        <v>1752</v>
      </c>
      <c r="GW134" s="107">
        <f>IF($H$117="no",ROUND($I$20*GR134,0)*($I$18*$I$19),0)</f>
        <v>1620</v>
      </c>
      <c r="GX134" s="107">
        <f>IF($H$117="yes",ROUND(GR134*$I$17,0)*$I$18*$I$19,0)</f>
        <v>0</v>
      </c>
      <c r="GY134" s="107">
        <f>ROUND($I$7*($I$17+$I$20),0)</f>
        <v>408</v>
      </c>
      <c r="GZ134" s="107">
        <f>IF($H$120="yes",GY134*$FR$91,0)</f>
        <v>0</v>
      </c>
      <c r="HA134" s="107">
        <f>IF($H$120="no",GY134*$FS$91,0)</f>
        <v>198560</v>
      </c>
      <c r="HB134" s="107">
        <f>IF($H$120="yes",ROUND($I$17*GY134,0)*($FR$92+$FR$93+$FR$94+$FR$95),ROUND($I$17*GY134,0)*($FS$92+$FS$93+$FS$94+$FS$95))</f>
        <v>131400</v>
      </c>
      <c r="HC134" s="107">
        <f>IF($H$120="yes",ROUND($I$20*GY134,0)*($FR$92+$FR$93+$FR$94+$FR$95),ROUND($I$20*GY134,0)*($FS$92+$FS$93+$FS$94+$FS$95))</f>
        <v>3893.333333333333</v>
      </c>
      <c r="HD134" s="107">
        <f>IF($H$117="no",ROUND($I$20*GY134,0)*($I$18*$I$19),0)</f>
        <v>2160</v>
      </c>
      <c r="HE134" s="107">
        <f>IF($H$117="yes",ROUND(GY134*$I$17,0)*$I$18*$I$19,0)</f>
        <v>0</v>
      </c>
      <c r="HF134" s="107">
        <v>0</v>
      </c>
      <c r="HG134" s="107">
        <v>0</v>
      </c>
      <c r="HH134" s="107">
        <v>0</v>
      </c>
      <c r="HI134" s="107">
        <v>0</v>
      </c>
      <c r="HJ134" s="107">
        <v>0</v>
      </c>
      <c r="HK134" s="107">
        <v>0</v>
      </c>
      <c r="HL134" s="107">
        <v>0</v>
      </c>
      <c r="HM134" s="107">
        <v>0</v>
      </c>
      <c r="HN134" s="107">
        <v>0</v>
      </c>
      <c r="HO134" s="107">
        <v>0</v>
      </c>
      <c r="HP134" s="107">
        <v>0</v>
      </c>
      <c r="HQ134" s="107">
        <v>0</v>
      </c>
      <c r="HR134" s="107">
        <v>0</v>
      </c>
      <c r="HS134" s="107">
        <v>0</v>
      </c>
      <c r="HT134" s="107">
        <f t="shared" si="183"/>
        <v>385537.3333333333</v>
      </c>
      <c r="HU134" s="107">
        <f t="shared" si="184"/>
        <v>210726.66666666666</v>
      </c>
      <c r="HV134" s="107">
        <f t="shared" si="185"/>
        <v>6480</v>
      </c>
      <c r="HW134" s="383">
        <f t="shared" si="186"/>
        <v>0</v>
      </c>
      <c r="HX134" s="70">
        <f t="shared" si="187"/>
        <v>602744</v>
      </c>
    </row>
    <row r="135" spans="1:232" ht="15.75">
      <c r="A135" s="492">
        <v>2</v>
      </c>
      <c r="B135" s="412" t="s">
        <v>521</v>
      </c>
      <c r="C135" s="406" t="s">
        <v>209</v>
      </c>
      <c r="D135" s="493">
        <v>17500</v>
      </c>
      <c r="E135" s="458">
        <f t="shared" si="199"/>
        <v>35000</v>
      </c>
      <c r="G135" s="394" t="s">
        <v>522</v>
      </c>
      <c r="H135" s="511">
        <v>0.25</v>
      </c>
      <c r="I135" s="123">
        <f>IF($H$133="yes",IF($H$134="yes",($H$135+1)*$E$13,$E$13),0)</f>
        <v>1260000</v>
      </c>
      <c r="K135" s="115"/>
      <c r="L135" s="75"/>
      <c r="M135" s="75"/>
      <c r="N135" s="75"/>
      <c r="O135" s="75"/>
      <c r="P135" s="75"/>
      <c r="Q135" s="76"/>
      <c r="R135" s="341"/>
      <c r="S135" s="19" t="s">
        <v>490</v>
      </c>
      <c r="T135" s="350">
        <f>$I$129*T134</f>
        <v>428400.00000000006</v>
      </c>
      <c r="FH135" s="62">
        <v>19</v>
      </c>
      <c r="FI135" s="107">
        <f t="shared" si="190"/>
        <v>22</v>
      </c>
      <c r="FJ135" s="107">
        <v>0</v>
      </c>
      <c r="FK135" s="107">
        <v>0</v>
      </c>
      <c r="FL135" s="107">
        <v>0</v>
      </c>
      <c r="FM135" s="107">
        <v>0</v>
      </c>
      <c r="FN135" s="107">
        <f t="shared" si="188"/>
        <v>0</v>
      </c>
      <c r="FO135" s="107">
        <f t="shared" si="189"/>
        <v>0</v>
      </c>
      <c r="FP135" s="107">
        <f t="shared" si="193"/>
        <v>34</v>
      </c>
      <c r="FQ135" s="107">
        <v>0</v>
      </c>
      <c r="FR135" s="107">
        <v>0</v>
      </c>
      <c r="FS135" s="107">
        <v>0</v>
      </c>
      <c r="FT135" s="107">
        <v>0</v>
      </c>
      <c r="FU135" s="107">
        <f t="shared" si="191"/>
        <v>0</v>
      </c>
      <c r="FV135" s="107">
        <f t="shared" si="192"/>
        <v>0</v>
      </c>
      <c r="FW135" s="107">
        <f t="shared" si="196"/>
        <v>51</v>
      </c>
      <c r="FX135" s="107">
        <v>0</v>
      </c>
      <c r="FY135" s="107">
        <v>0</v>
      </c>
      <c r="FZ135" s="107">
        <v>0</v>
      </c>
      <c r="GA135" s="107">
        <v>0</v>
      </c>
      <c r="GB135" s="107">
        <f t="shared" si="194"/>
        <v>540</v>
      </c>
      <c r="GC135" s="107">
        <f t="shared" si="195"/>
        <v>0</v>
      </c>
      <c r="GD135" s="107">
        <f>ROUND(GD134-($I$17+$I$20)*GD134,0)</f>
        <v>77</v>
      </c>
      <c r="GE135" s="107">
        <f>IF($H$120="yes",GD135*$FR$95,0)</f>
        <v>0</v>
      </c>
      <c r="GF135" s="107">
        <f>IF($H$120="no",GD135*$FS$95,0)</f>
        <v>7494.666666666666</v>
      </c>
      <c r="GG135" s="107">
        <v>0</v>
      </c>
      <c r="GH135" s="107">
        <v>0</v>
      </c>
      <c r="GI135" s="107">
        <f t="shared" si="197"/>
        <v>540</v>
      </c>
      <c r="GJ135" s="107">
        <f t="shared" si="198"/>
        <v>0</v>
      </c>
      <c r="GK135" s="107">
        <f>ROUND(GK134-($I$17+$I$20)*GK134,0)</f>
        <v>117</v>
      </c>
      <c r="GL135" s="107">
        <f>IF($H$120="yes",GK135*$FR$94,0)</f>
        <v>0</v>
      </c>
      <c r="GM135" s="107">
        <f>IF($H$120="no",GK135*$FS$94,0)</f>
        <v>22776</v>
      </c>
      <c r="GN135" s="107">
        <f>IF($H$120="yes",ROUND($I$17*GK135,0)*($FR$95),ROUND($I$17*GK135,0)*($FS$95))</f>
        <v>3796</v>
      </c>
      <c r="GO135" s="107">
        <f>IF($H$120="yes",ROUND($I$20*GK135,0)*($FR$95),ROUND($I$20*GK135,0)*($FS$95))</f>
        <v>97.33333333333333</v>
      </c>
      <c r="GP135" s="107">
        <f>IF($H$117="no",ROUND($I$20*GK135,0)*($I$18*$I$19),0)</f>
        <v>540</v>
      </c>
      <c r="GQ135" s="107">
        <f>IF($H$117="yes",ROUND(GK135*$I$17,0)*$I$18*$I$19,0)</f>
        <v>0</v>
      </c>
      <c r="GR135" s="107">
        <f>ROUND(GR134-($I$17+$I$20)*GR134,0)</f>
        <v>178</v>
      </c>
      <c r="GS135" s="107">
        <f>IF($H$120="yes",GR135*$FR$93,0)</f>
        <v>0</v>
      </c>
      <c r="GT135" s="107">
        <f>IF($H$120="no",GR135*$FS$93,0)</f>
        <v>51976</v>
      </c>
      <c r="GU135" s="107">
        <f>IF($H$120="yes",ROUND($I$17*GR135,0)*($FR$94+$FR$95),ROUND($I$17*GR135,0)*($FS$94+$FS$95))</f>
        <v>17228</v>
      </c>
      <c r="GV135" s="107">
        <f>IF($H$120="yes",ROUND($I$20*GR135,0)*($FR$94+$FR$95),ROUND($I$20*GR135,0)*($FS$94+$FS$95))</f>
        <v>584</v>
      </c>
      <c r="GW135" s="107">
        <f>IF($H$117="no",ROUND($I$20*GR135,0)*($I$18*$I$19),0)</f>
        <v>1080</v>
      </c>
      <c r="GX135" s="107">
        <f>IF($H$117="yes",ROUND(GR135*$I$17,0)*$I$18*$I$19,0)</f>
        <v>0</v>
      </c>
      <c r="GY135" s="107">
        <f>ROUND(GY134-($I$17+$I$20)*GY134,0)</f>
        <v>269</v>
      </c>
      <c r="GZ135" s="107">
        <f>IF($H$120="yes",GY135*$FR$92,0)</f>
        <v>0</v>
      </c>
      <c r="HA135" s="107">
        <f>IF($H$120="no",GY135*$FS$92,0)</f>
        <v>104730.66666666666</v>
      </c>
      <c r="HB135" s="107">
        <f>IF($H$120="yes",ROUND($I$17*GY135,0)*($FR$93+$FR$94+$FR$95),ROUND($I$17*GY135,0)*($FS$93+$FS$94+$FS$95))</f>
        <v>51976</v>
      </c>
      <c r="HC135" s="107">
        <f>IF($H$120="yes",ROUND($I$20*GY135,0)*($FR$93+$FR$94+$FR$95),ROUND($I$20*GY135,0)*($FS$93+$FS$94+$FS$95))</f>
        <v>1752</v>
      </c>
      <c r="HD135" s="107">
        <f>IF($H$117="no",ROUND($I$20*GY135,0)*($I$18*$I$19),0)</f>
        <v>1620</v>
      </c>
      <c r="HE135" s="107">
        <f>IF($H$117="yes",ROUND(GY135*$I$17,0)*$I$18*$I$19,0)</f>
        <v>0</v>
      </c>
      <c r="HF135" s="107">
        <f>ROUND($I$7*($I$17+$I$20),0)</f>
        <v>408</v>
      </c>
      <c r="HG135" s="107">
        <f>IF($H$120="yes",HF135*$FR$91,0)</f>
        <v>0</v>
      </c>
      <c r="HH135" s="107">
        <f>IF($H$120="no",HF135*$FS$91,0)</f>
        <v>198560</v>
      </c>
      <c r="HI135" s="107">
        <f>IF($H$120="yes",ROUND($I$17*HF135,0)*($FR$92+$FR$93+$FR$94+$FR$95),ROUND($I$17*HF135,0)*($FS$92+$FS$93+$FS$94+$FS$95))</f>
        <v>131400</v>
      </c>
      <c r="HJ135" s="107">
        <f>IF($H$120="yes",ROUND($I$20*HF135,0)*($FR$92+$FR$93+$FR$94+$FR$95),ROUND($I$20*HF135,0)*($FS$92+$FS$93+$FS$94+$FS$95))</f>
        <v>3893.333333333333</v>
      </c>
      <c r="HK135" s="107">
        <f>IF($H$117="no",ROUND($I$20*HF135,0)*($I$18*$I$19),0)</f>
        <v>2160</v>
      </c>
      <c r="HL135" s="107">
        <f>IF($H$117="yes",ROUND(HF135*$I$17,0)*$I$18*$I$19,0)</f>
        <v>0</v>
      </c>
      <c r="HM135" s="107">
        <v>0</v>
      </c>
      <c r="HN135" s="107">
        <v>0</v>
      </c>
      <c r="HO135" s="107">
        <v>0</v>
      </c>
      <c r="HP135" s="107">
        <v>0</v>
      </c>
      <c r="HQ135" s="107">
        <v>0</v>
      </c>
      <c r="HR135" s="107">
        <v>0</v>
      </c>
      <c r="HS135" s="107">
        <v>0</v>
      </c>
      <c r="HT135" s="107">
        <f t="shared" si="183"/>
        <v>385537.3333333333</v>
      </c>
      <c r="HU135" s="107">
        <f t="shared" si="184"/>
        <v>210726.66666666666</v>
      </c>
      <c r="HV135" s="107">
        <f t="shared" si="185"/>
        <v>6480</v>
      </c>
      <c r="HW135" s="383">
        <f t="shared" si="186"/>
        <v>0</v>
      </c>
      <c r="HX135" s="70">
        <f t="shared" si="187"/>
        <v>602744</v>
      </c>
    </row>
    <row r="136" spans="1:232" ht="16.5" thickBot="1">
      <c r="A136" s="492">
        <v>1</v>
      </c>
      <c r="B136" s="412" t="s">
        <v>523</v>
      </c>
      <c r="C136" s="406" t="s">
        <v>209</v>
      </c>
      <c r="D136" s="493">
        <v>7500</v>
      </c>
      <c r="E136" s="458">
        <f t="shared" si="199"/>
        <v>7500</v>
      </c>
      <c r="G136" s="26" t="s">
        <v>254</v>
      </c>
      <c r="H136" s="363"/>
      <c r="I136" s="360"/>
      <c r="K136" s="115"/>
      <c r="L136" s="75"/>
      <c r="M136" s="75"/>
      <c r="N136" s="75"/>
      <c r="O136" s="75"/>
      <c r="P136" s="75"/>
      <c r="Q136" s="76"/>
      <c r="R136" s="341"/>
      <c r="S136" s="19" t="s">
        <v>492</v>
      </c>
      <c r="T136" s="350">
        <f>T134-T135</f>
        <v>831600</v>
      </c>
      <c r="FH136" s="71">
        <v>20</v>
      </c>
      <c r="FI136" s="300">
        <f t="shared" si="190"/>
        <v>15</v>
      </c>
      <c r="FJ136" s="300">
        <v>0</v>
      </c>
      <c r="FK136" s="300">
        <v>0</v>
      </c>
      <c r="FL136" s="300">
        <v>0</v>
      </c>
      <c r="FM136" s="300">
        <v>0</v>
      </c>
      <c r="FN136" s="300">
        <f t="shared" si="188"/>
        <v>0</v>
      </c>
      <c r="FO136" s="300">
        <f t="shared" si="189"/>
        <v>0</v>
      </c>
      <c r="FP136" s="300">
        <f t="shared" si="193"/>
        <v>22</v>
      </c>
      <c r="FQ136" s="300">
        <v>0</v>
      </c>
      <c r="FR136" s="300">
        <v>0</v>
      </c>
      <c r="FS136" s="300">
        <v>0</v>
      </c>
      <c r="FT136" s="300">
        <v>0</v>
      </c>
      <c r="FU136" s="300">
        <f t="shared" si="191"/>
        <v>0</v>
      </c>
      <c r="FV136" s="300">
        <f t="shared" si="192"/>
        <v>0</v>
      </c>
      <c r="FW136" s="300">
        <f t="shared" si="196"/>
        <v>34</v>
      </c>
      <c r="FX136" s="300">
        <v>0</v>
      </c>
      <c r="FY136" s="300">
        <v>0</v>
      </c>
      <c r="FZ136" s="300">
        <v>0</v>
      </c>
      <c r="GA136" s="300">
        <v>0</v>
      </c>
      <c r="GB136" s="300">
        <f t="shared" si="194"/>
        <v>0</v>
      </c>
      <c r="GC136" s="300">
        <f t="shared" si="195"/>
        <v>0</v>
      </c>
      <c r="GD136" s="300">
        <f>ROUND(GD135-($I$17+$I$20)*GD135,0)</f>
        <v>51</v>
      </c>
      <c r="GE136" s="300">
        <v>0</v>
      </c>
      <c r="GF136" s="300">
        <v>0</v>
      </c>
      <c r="GG136" s="300">
        <v>0</v>
      </c>
      <c r="GH136" s="300">
        <v>0</v>
      </c>
      <c r="GI136" s="300">
        <f t="shared" si="197"/>
        <v>540</v>
      </c>
      <c r="GJ136" s="300">
        <f t="shared" si="198"/>
        <v>0</v>
      </c>
      <c r="GK136" s="300">
        <f>ROUND(GK135-($I$17+$I$20)*GK135,0)</f>
        <v>77</v>
      </c>
      <c r="GL136" s="300">
        <f>IF($H$120="yes",GK136*$FR$95,0)</f>
        <v>0</v>
      </c>
      <c r="GM136" s="300">
        <f>IF($H$120="no",GK136*$FS$95,0)</f>
        <v>7494.666666666666</v>
      </c>
      <c r="GN136" s="300">
        <v>0</v>
      </c>
      <c r="GO136" s="300">
        <v>0</v>
      </c>
      <c r="GP136" s="300">
        <f>IF($H$117="no",ROUND($I$20*GK136,0)*($I$18*$I$19),0)</f>
        <v>540</v>
      </c>
      <c r="GQ136" s="300">
        <f>IF($H$117="yes",ROUND(GK136*$I$17,0)*$I$18*$I$19,0)</f>
        <v>0</v>
      </c>
      <c r="GR136" s="300">
        <f>ROUND(GR135-($I$17+$I$20)*GR135,0)</f>
        <v>117</v>
      </c>
      <c r="GS136" s="300">
        <f>IF($H$120="yes",GR136*$FR$94,0)</f>
        <v>0</v>
      </c>
      <c r="GT136" s="300">
        <f>IF($H$120="no",GR136*$FS$94,0)</f>
        <v>22776</v>
      </c>
      <c r="GU136" s="300">
        <f>IF($H$120="yes",ROUND($I$17*GR136,0)*($FR$95),ROUND($I$17*GR136,0)*($FS$95))</f>
        <v>3796</v>
      </c>
      <c r="GV136" s="300">
        <f>IF($H$120="yes",ROUND($I$20*GR136,0)*($FR$95),ROUND($I$20*GR136,0)*($FS$95))</f>
        <v>97.33333333333333</v>
      </c>
      <c r="GW136" s="300">
        <f>IF($H$117="no",ROUND($I$20*GR136,0)*($I$18*$I$19),0)</f>
        <v>540</v>
      </c>
      <c r="GX136" s="300">
        <f>IF($H$117="yes",ROUND(GR136*$I$17,0)*$I$18*$I$19,0)</f>
        <v>0</v>
      </c>
      <c r="GY136" s="300">
        <f>ROUND(GY135-($I$17+$I$20)*GY135,0)</f>
        <v>178</v>
      </c>
      <c r="GZ136" s="300">
        <f>IF($H$120="yes",GY136*$FR$93,0)</f>
        <v>0</v>
      </c>
      <c r="HA136" s="300">
        <f>IF($H$120="no",GY136*$FS$93,0)</f>
        <v>51976</v>
      </c>
      <c r="HB136" s="300">
        <f>IF($H$120="yes",ROUND($I$17*GY136,0)*($FR$94+$FR$95),ROUND($I$17*GY136,0)*($FS$94+$FS$95))</f>
        <v>17228</v>
      </c>
      <c r="HC136" s="300">
        <f>IF($H$120="yes",ROUND($I$20*GY136,0)*($FR$94+$FR$95),ROUND($I$20*GY136,0)*($FS$94+$FS$95))</f>
        <v>584</v>
      </c>
      <c r="HD136" s="300">
        <f>IF($H$117="no",ROUND($I$20*GY136,0)*($I$18*$I$19),0)</f>
        <v>1080</v>
      </c>
      <c r="HE136" s="300">
        <f>IF($H$117="yes",ROUND(GY136*$I$17,0)*$I$18*$I$19,0)</f>
        <v>0</v>
      </c>
      <c r="HF136" s="300">
        <f>ROUND(HF135-($I$17+$I$20)*HF135,0)</f>
        <v>269</v>
      </c>
      <c r="HG136" s="300">
        <f>IF($H$120="yes",HF136*$FR$92,0)</f>
        <v>0</v>
      </c>
      <c r="HH136" s="300">
        <f>IF($H$120="no",HF136*$FS$92,0)</f>
        <v>104730.66666666666</v>
      </c>
      <c r="HI136" s="300">
        <f>IF($H$120="yes",ROUND($I$17*HF136,0)*($FR$93+$FR$94+$FR$95),ROUND($I$17*HF136,0)*($FS$93+$FS$94+$FS$95))</f>
        <v>51976</v>
      </c>
      <c r="HJ136" s="300">
        <f>IF($H$120="yes",ROUND($I$20*HF136,0)*($FR$93+$FR$94+$FR$95),ROUND($I$20*HF136,0)*($FS$93+$FS$94+$FS$95))</f>
        <v>1752</v>
      </c>
      <c r="HK136" s="300">
        <f>IF($H$117="no",ROUND($I$20*HF136,0)*($I$18*$I$19),0)</f>
        <v>1620</v>
      </c>
      <c r="HL136" s="300">
        <f>IF($H$117="yes",ROUND(HF136*$I$17,0)*$I$18*$I$19,0)</f>
        <v>0</v>
      </c>
      <c r="HM136" s="300">
        <f>ROUND($I$7*($I$17+$I$20),0)</f>
        <v>408</v>
      </c>
      <c r="HN136" s="300">
        <f>IF($H$120="yes",HM136*$FR$91,0)</f>
        <v>0</v>
      </c>
      <c r="HO136" s="300">
        <f>IF($H$120="no",HM136*$FS$91,0)</f>
        <v>198560</v>
      </c>
      <c r="HP136" s="300">
        <f>IF($H$120="yes",ROUND($I$17*HM136,0)*($FR$92+$FR$93+$FR$94+$FR$95),ROUND($I$17*HM136,0)*($FS$92+$FS$93+$FS$94+$FS$95))</f>
        <v>131400</v>
      </c>
      <c r="HQ136" s="300">
        <f>IF($H$120="yes",ROUND($I$20*HM136,0)*($FR$92+$FR$93+$FR$94+$FR$95),ROUND($I$20*HM136,0)*($FS$92+$FS$93+$FS$94+$FS$95))</f>
        <v>3893.333333333333</v>
      </c>
      <c r="HR136" s="300">
        <f>IF($H$117="no",ROUND($I$20*HM136,0)*($I$18*$I$19),0)</f>
        <v>2160</v>
      </c>
      <c r="HS136" s="300">
        <f>IF($H$117="yes",ROUND(HM136*$I$17,0)*$I$18*$I$19,0)</f>
        <v>0</v>
      </c>
      <c r="HT136" s="300">
        <f t="shared" si="183"/>
        <v>385537.3333333333</v>
      </c>
      <c r="HU136" s="300">
        <f t="shared" si="184"/>
        <v>210726.66666666666</v>
      </c>
      <c r="HV136" s="300">
        <f t="shared" si="185"/>
        <v>6480</v>
      </c>
      <c r="HW136" s="384">
        <f t="shared" si="186"/>
        <v>0</v>
      </c>
      <c r="HX136" s="385">
        <f t="shared" si="187"/>
        <v>602744</v>
      </c>
    </row>
    <row r="137" spans="1:229" ht="17.25" thickBot="1" thickTop="1">
      <c r="A137" s="492">
        <v>1</v>
      </c>
      <c r="B137" s="412" t="s">
        <v>524</v>
      </c>
      <c r="C137" s="406" t="s">
        <v>209</v>
      </c>
      <c r="D137" s="493">
        <v>4000</v>
      </c>
      <c r="E137" s="458">
        <f t="shared" si="199"/>
        <v>4000</v>
      </c>
      <c r="G137" s="394" t="s">
        <v>525</v>
      </c>
      <c r="H137" s="510" t="s">
        <v>110</v>
      </c>
      <c r="I137" s="360"/>
      <c r="K137" s="115"/>
      <c r="L137" s="75"/>
      <c r="M137" s="75"/>
      <c r="N137" s="75"/>
      <c r="O137" s="75"/>
      <c r="P137" s="75"/>
      <c r="Q137" s="359"/>
      <c r="R137" s="352"/>
      <c r="S137" s="20" t="s">
        <v>494</v>
      </c>
      <c r="T137" s="353">
        <f>IF($H$133="yes",T136/((1+$I$128)^20),0)</f>
        <v>148383.12794293326</v>
      </c>
      <c r="FH137" s="75"/>
      <c r="FI137" s="96"/>
      <c r="FJ137" s="302"/>
      <c r="FK137" s="302"/>
      <c r="FL137" s="302"/>
      <c r="FM137" s="302"/>
      <c r="FN137" s="302"/>
      <c r="FO137" s="302"/>
      <c r="FP137" s="302"/>
      <c r="FQ137" s="302"/>
      <c r="FR137" s="302"/>
      <c r="FS137" s="302"/>
      <c r="FT137" s="302"/>
      <c r="FU137" s="302"/>
      <c r="FV137" s="302"/>
      <c r="FW137" s="302"/>
      <c r="FX137" s="302"/>
      <c r="FY137" s="302"/>
      <c r="FZ137" s="302"/>
      <c r="GA137" s="302"/>
      <c r="GB137" s="302"/>
      <c r="GC137" s="302"/>
      <c r="GD137" s="302"/>
      <c r="GE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U137" s="205"/>
    </row>
    <row r="138" spans="1:18" ht="16.5" thickTop="1">
      <c r="A138" s="492">
        <v>2</v>
      </c>
      <c r="B138" s="412" t="s">
        <v>526</v>
      </c>
      <c r="C138" s="406" t="s">
        <v>209</v>
      </c>
      <c r="D138" s="493">
        <v>3500</v>
      </c>
      <c r="E138" s="458">
        <f t="shared" si="199"/>
        <v>7000</v>
      </c>
      <c r="G138" s="394" t="s">
        <v>527</v>
      </c>
      <c r="H138" s="512">
        <v>1200</v>
      </c>
      <c r="I138" s="123">
        <f>IF(H137="yes",$H$138*$M$112,0)</f>
        <v>1425600</v>
      </c>
      <c r="K138" s="115"/>
      <c r="L138" s="75"/>
      <c r="M138" s="75"/>
      <c r="N138" s="75"/>
      <c r="O138" s="75"/>
      <c r="P138" s="75"/>
      <c r="Q138" s="75"/>
      <c r="R138" s="75"/>
    </row>
    <row r="139" spans="1:18" ht="15.75">
      <c r="A139" s="492">
        <v>1</v>
      </c>
      <c r="B139" s="412" t="s">
        <v>528</v>
      </c>
      <c r="C139" s="406" t="s">
        <v>209</v>
      </c>
      <c r="D139" s="493">
        <v>45000</v>
      </c>
      <c r="E139" s="458">
        <f t="shared" si="199"/>
        <v>45000</v>
      </c>
      <c r="G139" s="26" t="s">
        <v>529</v>
      </c>
      <c r="H139" s="363"/>
      <c r="I139" s="360"/>
      <c r="K139" s="115"/>
      <c r="L139" s="115"/>
      <c r="M139" s="115"/>
      <c r="N139" s="115"/>
      <c r="O139" s="75"/>
      <c r="P139" s="75"/>
      <c r="Q139" s="75"/>
      <c r="R139" s="75"/>
    </row>
    <row r="140" spans="1:18" ht="15.75">
      <c r="A140" s="492">
        <v>1</v>
      </c>
      <c r="B140" s="412" t="s">
        <v>530</v>
      </c>
      <c r="C140" s="406" t="s">
        <v>209</v>
      </c>
      <c r="D140" s="493">
        <v>27500</v>
      </c>
      <c r="E140" s="458">
        <f t="shared" si="199"/>
        <v>27500</v>
      </c>
      <c r="G140" s="394" t="s">
        <v>531</v>
      </c>
      <c r="H140" s="510" t="s">
        <v>110</v>
      </c>
      <c r="I140" s="360"/>
      <c r="K140" s="115"/>
      <c r="L140" s="114"/>
      <c r="M140" s="114"/>
      <c r="N140" s="114"/>
      <c r="O140" s="75"/>
      <c r="P140" s="75"/>
      <c r="Q140" s="75"/>
      <c r="R140" s="75"/>
    </row>
    <row r="141" spans="1:18" ht="16.5" thickBot="1">
      <c r="A141" s="492">
        <v>1</v>
      </c>
      <c r="B141" s="412" t="s">
        <v>532</v>
      </c>
      <c r="C141" s="406" t="s">
        <v>209</v>
      </c>
      <c r="D141" s="493">
        <v>18500</v>
      </c>
      <c r="E141" s="458">
        <f t="shared" si="199"/>
        <v>18500</v>
      </c>
      <c r="G141" s="399" t="s">
        <v>533</v>
      </c>
      <c r="H141" s="513">
        <v>0.25</v>
      </c>
      <c r="I141" s="436">
        <f>IF($H$140="yes",($E$29+$E$38+$E$47+$E$61+$E$70+$E$78+$E$88+$E$99+$E$108+$E$119+$E$126+$E$152)*($H$141),0)</f>
        <v>596942.5</v>
      </c>
      <c r="K141" s="77"/>
      <c r="L141" s="114"/>
      <c r="M141" s="114"/>
      <c r="N141" s="114"/>
      <c r="O141" s="115"/>
      <c r="P141" s="75"/>
      <c r="Q141" s="75"/>
      <c r="R141" s="75"/>
    </row>
    <row r="142" spans="1:18" ht="16.5" thickTop="1">
      <c r="A142" s="492">
        <v>1</v>
      </c>
      <c r="B142" s="412" t="s">
        <v>534</v>
      </c>
      <c r="C142" s="406" t="s">
        <v>209</v>
      </c>
      <c r="D142" s="493">
        <v>25000</v>
      </c>
      <c r="E142" s="458">
        <f t="shared" si="199"/>
        <v>25000</v>
      </c>
      <c r="G142" s="266" t="s">
        <v>202</v>
      </c>
      <c r="H142" s="437"/>
      <c r="I142" s="267"/>
      <c r="K142" s="77"/>
      <c r="L142" s="77"/>
      <c r="M142" s="77"/>
      <c r="N142" s="77"/>
      <c r="O142" s="114"/>
      <c r="P142" s="75"/>
      <c r="Q142" s="75"/>
      <c r="R142" s="75"/>
    </row>
    <row r="143" spans="1:18" ht="15.75">
      <c r="A143" s="492">
        <v>1</v>
      </c>
      <c r="B143" s="412" t="s">
        <v>535</v>
      </c>
      <c r="C143" s="406" t="s">
        <v>209</v>
      </c>
      <c r="D143" s="493">
        <v>2000</v>
      </c>
      <c r="E143" s="458">
        <f t="shared" si="199"/>
        <v>2000</v>
      </c>
      <c r="G143" s="266" t="s">
        <v>536</v>
      </c>
      <c r="H143" s="437"/>
      <c r="I143" s="267"/>
      <c r="K143" s="75"/>
      <c r="L143" s="77"/>
      <c r="M143" s="77"/>
      <c r="N143" s="77"/>
      <c r="O143" s="114"/>
      <c r="P143" s="75"/>
      <c r="Q143" s="75"/>
      <c r="R143" s="75"/>
    </row>
    <row r="144" spans="1:18" ht="15.75">
      <c r="A144" s="492">
        <v>1</v>
      </c>
      <c r="B144" s="412" t="s">
        <v>537</v>
      </c>
      <c r="C144" s="406" t="s">
        <v>209</v>
      </c>
      <c r="D144" s="493">
        <v>250</v>
      </c>
      <c r="E144" s="458">
        <f t="shared" si="199"/>
        <v>250</v>
      </c>
      <c r="G144" s="266" t="s">
        <v>538</v>
      </c>
      <c r="H144" s="437"/>
      <c r="I144" s="267"/>
      <c r="K144" s="75"/>
      <c r="L144" s="81"/>
      <c r="M144" s="81"/>
      <c r="N144" s="81"/>
      <c r="O144" s="77"/>
      <c r="P144" s="75"/>
      <c r="Q144" s="115"/>
      <c r="R144" s="115"/>
    </row>
    <row r="145" spans="1:18" ht="15.75">
      <c r="A145" s="492">
        <v>2</v>
      </c>
      <c r="B145" s="412" t="s">
        <v>539</v>
      </c>
      <c r="C145" s="406" t="s">
        <v>209</v>
      </c>
      <c r="D145" s="493">
        <v>150</v>
      </c>
      <c r="E145" s="458">
        <f t="shared" si="199"/>
        <v>300</v>
      </c>
      <c r="G145" s="266" t="s">
        <v>540</v>
      </c>
      <c r="H145" s="437"/>
      <c r="I145" s="267"/>
      <c r="K145" s="75"/>
      <c r="L145" s="81"/>
      <c r="M145" s="81"/>
      <c r="N145" s="81"/>
      <c r="O145" s="77"/>
      <c r="P145" s="115"/>
      <c r="Q145" s="114"/>
      <c r="R145" s="114"/>
    </row>
    <row r="146" spans="1:18" ht="15.75">
      <c r="A146" s="492">
        <v>1</v>
      </c>
      <c r="B146" s="412" t="s">
        <v>541</v>
      </c>
      <c r="C146" s="406" t="s">
        <v>209</v>
      </c>
      <c r="D146" s="493">
        <v>8500</v>
      </c>
      <c r="E146" s="458">
        <f t="shared" si="199"/>
        <v>8500</v>
      </c>
      <c r="G146" s="266" t="s">
        <v>542</v>
      </c>
      <c r="H146" s="437"/>
      <c r="I146" s="267"/>
      <c r="K146" s="75"/>
      <c r="L146" s="81"/>
      <c r="M146" s="81"/>
      <c r="N146" s="81"/>
      <c r="O146" s="81"/>
      <c r="P146" s="114"/>
      <c r="Q146" s="114"/>
      <c r="R146" s="114"/>
    </row>
    <row r="147" spans="1:18" ht="15.75">
      <c r="A147" s="492">
        <v>1</v>
      </c>
      <c r="B147" s="412" t="s">
        <v>543</v>
      </c>
      <c r="C147" s="406" t="s">
        <v>209</v>
      </c>
      <c r="D147" s="493">
        <v>17500</v>
      </c>
      <c r="E147" s="458">
        <f t="shared" si="199"/>
        <v>17500</v>
      </c>
      <c r="G147" s="266" t="s">
        <v>544</v>
      </c>
      <c r="H147" s="437"/>
      <c r="I147" s="267"/>
      <c r="K147" s="75"/>
      <c r="L147" s="81"/>
      <c r="M147" s="81"/>
      <c r="N147" s="81"/>
      <c r="O147" s="81"/>
      <c r="P147" s="114"/>
      <c r="Q147" s="77"/>
      <c r="R147" s="77"/>
    </row>
    <row r="148" spans="1:18" ht="15.75">
      <c r="A148" s="492">
        <v>1</v>
      </c>
      <c r="B148" s="412" t="s">
        <v>545</v>
      </c>
      <c r="C148" s="406" t="s">
        <v>209</v>
      </c>
      <c r="D148" s="493">
        <v>3000</v>
      </c>
      <c r="E148" s="458">
        <f t="shared" si="199"/>
        <v>3000</v>
      </c>
      <c r="G148" s="268" t="s">
        <v>546</v>
      </c>
      <c r="H148" s="269"/>
      <c r="I148" s="269"/>
      <c r="K148" s="75"/>
      <c r="L148" s="81"/>
      <c r="M148" s="81"/>
      <c r="N148" s="81"/>
      <c r="O148" s="81"/>
      <c r="P148" s="77"/>
      <c r="Q148" s="77"/>
      <c r="R148" s="77"/>
    </row>
    <row r="149" spans="1:18" ht="15.75">
      <c r="A149" s="492">
        <v>2</v>
      </c>
      <c r="B149" s="412" t="s">
        <v>547</v>
      </c>
      <c r="C149" s="406" t="s">
        <v>209</v>
      </c>
      <c r="D149" s="493">
        <v>4000</v>
      </c>
      <c r="E149" s="458">
        <f t="shared" si="199"/>
        <v>8000</v>
      </c>
      <c r="G149" s="268" t="s">
        <v>548</v>
      </c>
      <c r="H149" s="269"/>
      <c r="I149" s="269"/>
      <c r="K149" s="75"/>
      <c r="L149" s="81"/>
      <c r="M149" s="81"/>
      <c r="N149" s="81"/>
      <c r="O149" s="81"/>
      <c r="P149" s="77"/>
      <c r="Q149" s="81"/>
      <c r="R149" s="81"/>
    </row>
    <row r="150" spans="1:18" ht="15.75">
      <c r="A150" s="492">
        <v>2</v>
      </c>
      <c r="B150" s="467" t="s">
        <v>549</v>
      </c>
      <c r="C150" s="406" t="s">
        <v>209</v>
      </c>
      <c r="D150" s="494">
        <v>750</v>
      </c>
      <c r="E150" s="458">
        <f t="shared" si="199"/>
        <v>1500</v>
      </c>
      <c r="G150" s="270" t="s">
        <v>550</v>
      </c>
      <c r="H150" s="269"/>
      <c r="I150" s="269"/>
      <c r="K150" s="75"/>
      <c r="L150" s="81"/>
      <c r="M150" s="81"/>
      <c r="N150" s="81"/>
      <c r="O150" s="81"/>
      <c r="P150" s="81"/>
      <c r="Q150" s="81"/>
      <c r="R150" s="81"/>
    </row>
    <row r="151" spans="1:18" ht="16.5" thickBot="1">
      <c r="A151" s="17"/>
      <c r="B151" s="414" t="s">
        <v>551</v>
      </c>
      <c r="C151" s="468"/>
      <c r="D151" s="469"/>
      <c r="E151" s="469"/>
      <c r="G151" s="270" t="s">
        <v>552</v>
      </c>
      <c r="H151" s="269"/>
      <c r="I151" s="269"/>
      <c r="K151" s="75"/>
      <c r="L151" s="81"/>
      <c r="M151" s="81"/>
      <c r="N151" s="81"/>
      <c r="O151" s="81"/>
      <c r="P151" s="81"/>
      <c r="Q151" s="81"/>
      <c r="R151" s="81"/>
    </row>
    <row r="152" spans="1:18" ht="16.5" thickTop="1">
      <c r="A152" s="13"/>
      <c r="B152" s="418"/>
      <c r="C152" s="425"/>
      <c r="D152" s="376" t="s">
        <v>104</v>
      </c>
      <c r="E152" s="368">
        <f>ROUND(SUM(E132:E150),0)</f>
        <v>350550</v>
      </c>
      <c r="G152" s="270" t="s">
        <v>553</v>
      </c>
      <c r="H152" s="269"/>
      <c r="I152" s="269"/>
      <c r="K152" s="75"/>
      <c r="L152" s="81"/>
      <c r="M152" s="81"/>
      <c r="N152" s="81"/>
      <c r="O152" s="81"/>
      <c r="P152" s="81"/>
      <c r="Q152" s="81"/>
      <c r="R152" s="81"/>
    </row>
    <row r="153" spans="1:18" ht="16.5" thickBot="1">
      <c r="A153" s="18" t="s">
        <v>554</v>
      </c>
      <c r="B153" s="418"/>
      <c r="C153" s="425"/>
      <c r="D153" s="376"/>
      <c r="E153" s="368"/>
      <c r="G153" s="270" t="s">
        <v>555</v>
      </c>
      <c r="H153" s="269"/>
      <c r="I153" s="269"/>
      <c r="K153" s="75"/>
      <c r="L153" s="81"/>
      <c r="M153" s="81"/>
      <c r="N153" s="81"/>
      <c r="O153" s="81"/>
      <c r="P153" s="81"/>
      <c r="Q153" s="81"/>
      <c r="R153" s="81"/>
    </row>
    <row r="154" spans="1:18" ht="16.5" thickTop="1">
      <c r="A154" s="6"/>
      <c r="B154" s="419"/>
      <c r="C154" s="423"/>
      <c r="D154" s="373"/>
      <c r="E154" s="366" t="s">
        <v>19</v>
      </c>
      <c r="G154" s="270" t="s">
        <v>556</v>
      </c>
      <c r="H154" s="269"/>
      <c r="I154" s="269"/>
      <c r="K154" s="75"/>
      <c r="L154" s="81"/>
      <c r="M154" s="81"/>
      <c r="N154" s="81"/>
      <c r="O154" s="81"/>
      <c r="P154" s="81"/>
      <c r="Q154" s="81"/>
      <c r="R154" s="81"/>
    </row>
    <row r="155" spans="1:18" ht="15.75">
      <c r="A155" s="9"/>
      <c r="B155" s="420"/>
      <c r="C155" s="424"/>
      <c r="D155" s="333" t="s">
        <v>557</v>
      </c>
      <c r="E155" s="132" t="s">
        <v>52</v>
      </c>
      <c r="G155" s="270" t="s">
        <v>558</v>
      </c>
      <c r="H155" s="269"/>
      <c r="I155" s="269"/>
      <c r="K155" s="75"/>
      <c r="L155" s="81"/>
      <c r="M155" s="81"/>
      <c r="N155" s="81"/>
      <c r="O155" s="81"/>
      <c r="P155" s="81"/>
      <c r="Q155" s="81"/>
      <c r="R155" s="81"/>
    </row>
    <row r="156" spans="1:18" ht="16.5" thickBot="1">
      <c r="A156" s="11"/>
      <c r="B156" s="421" t="s">
        <v>64</v>
      </c>
      <c r="C156" s="421"/>
      <c r="D156" s="374" t="s">
        <v>559</v>
      </c>
      <c r="E156" s="295" t="s">
        <v>66</v>
      </c>
      <c r="G156" s="270" t="s">
        <v>560</v>
      </c>
      <c r="H156" s="269"/>
      <c r="I156" s="269"/>
      <c r="K156" s="75"/>
      <c r="L156" s="81"/>
      <c r="M156" s="81"/>
      <c r="N156" s="81"/>
      <c r="O156" s="81"/>
      <c r="P156" s="81"/>
      <c r="Q156" s="81"/>
      <c r="R156" s="81"/>
    </row>
    <row r="157" spans="1:18" ht="16.5" thickTop="1">
      <c r="A157" s="144"/>
      <c r="B157" s="454" t="s">
        <v>561</v>
      </c>
      <c r="C157" s="426"/>
      <c r="D157" s="373">
        <f>E157/A18</f>
        <v>840</v>
      </c>
      <c r="E157" s="367">
        <f>ROUND($E$13,0)</f>
        <v>1008000</v>
      </c>
      <c r="G157" s="268" t="s">
        <v>562</v>
      </c>
      <c r="H157" s="269"/>
      <c r="I157" s="269"/>
      <c r="K157" s="75"/>
      <c r="L157" s="81"/>
      <c r="M157" s="81"/>
      <c r="N157" s="81"/>
      <c r="O157" s="81"/>
      <c r="P157" s="81"/>
      <c r="Q157" s="81"/>
      <c r="R157" s="81"/>
    </row>
    <row r="158" spans="1:18" ht="15.75">
      <c r="A158" s="145"/>
      <c r="B158" s="455" t="s">
        <v>563</v>
      </c>
      <c r="C158" s="427"/>
      <c r="D158" s="377">
        <f>E158/A18</f>
        <v>2000</v>
      </c>
      <c r="E158" s="458">
        <f>ROUND($E$19,0)</f>
        <v>2400000</v>
      </c>
      <c r="G158" s="268" t="s">
        <v>564</v>
      </c>
      <c r="H158" s="269"/>
      <c r="I158" s="269"/>
      <c r="K158" s="75"/>
      <c r="L158" s="81"/>
      <c r="M158" s="81"/>
      <c r="N158" s="81"/>
      <c r="O158" s="81"/>
      <c r="P158" s="81"/>
      <c r="Q158" s="81"/>
      <c r="R158" s="81"/>
    </row>
    <row r="159" spans="1:18" ht="15.75">
      <c r="A159" s="145"/>
      <c r="B159" s="455" t="s">
        <v>565</v>
      </c>
      <c r="C159" s="427"/>
      <c r="D159" s="377">
        <f>E159/A18</f>
        <v>1697.6833333333334</v>
      </c>
      <c r="E159" s="458">
        <f>ROUND($E$126+$E$119+$E$108+$E$99+$E$88+$E$78+$E$70+$E$61+$E$47+$E$38+$E$29,0)</f>
        <v>2037220</v>
      </c>
      <c r="G159" s="268" t="s">
        <v>566</v>
      </c>
      <c r="H159" s="269"/>
      <c r="I159" s="269"/>
      <c r="K159" s="115"/>
      <c r="L159" s="81"/>
      <c r="M159" s="81"/>
      <c r="N159" s="81"/>
      <c r="O159" s="81"/>
      <c r="P159" s="81"/>
      <c r="Q159" s="81"/>
      <c r="R159" s="81"/>
    </row>
    <row r="160" spans="1:18" ht="15.75">
      <c r="A160" s="145"/>
      <c r="B160" s="455" t="s">
        <v>567</v>
      </c>
      <c r="C160" s="428"/>
      <c r="D160" s="377">
        <f>E160/A18</f>
        <v>292.125</v>
      </c>
      <c r="E160" s="458">
        <f>ROUND($E$152,0)</f>
        <v>350550</v>
      </c>
      <c r="G160" s="268" t="s">
        <v>568</v>
      </c>
      <c r="H160" s="269"/>
      <c r="I160" s="269"/>
      <c r="K160" s="114"/>
      <c r="L160" s="81"/>
      <c r="M160" s="81"/>
      <c r="N160" s="81"/>
      <c r="O160" s="81"/>
      <c r="P160" s="81"/>
      <c r="Q160" s="81"/>
      <c r="R160" s="81"/>
    </row>
    <row r="161" spans="1:18" ht="15.75">
      <c r="A161" s="145"/>
      <c r="B161" s="455" t="s">
        <v>569</v>
      </c>
      <c r="C161" s="495">
        <v>0.015</v>
      </c>
      <c r="D161" s="377">
        <f>E161/A18</f>
        <v>72.4475</v>
      </c>
      <c r="E161" s="458">
        <f>ROUND($C$161*($E$157+$E$158+$E$159+$E$160),0)</f>
        <v>86937</v>
      </c>
      <c r="G161" s="268" t="s">
        <v>570</v>
      </c>
      <c r="H161" s="269"/>
      <c r="I161" s="269"/>
      <c r="K161" s="114"/>
      <c r="L161" s="5"/>
      <c r="M161" s="5"/>
      <c r="N161" s="5"/>
      <c r="O161" s="81"/>
      <c r="P161" s="81"/>
      <c r="Q161" s="81"/>
      <c r="R161" s="81"/>
    </row>
    <row r="162" spans="1:18" ht="16.5" thickBot="1">
      <c r="A162" s="146"/>
      <c r="B162" s="456" t="s">
        <v>571</v>
      </c>
      <c r="C162" s="496">
        <v>0.015</v>
      </c>
      <c r="D162" s="378">
        <f>E162/A18</f>
        <v>72.4475</v>
      </c>
      <c r="E162" s="459">
        <f>ROUND(($E$157+$E$158+$E$159+$E$160)*$C$162,0)</f>
        <v>86937</v>
      </c>
      <c r="G162" s="268" t="s">
        <v>572</v>
      </c>
      <c r="H162" s="126"/>
      <c r="I162" s="126"/>
      <c r="K162" s="77"/>
      <c r="O162" s="81"/>
      <c r="P162" s="81"/>
      <c r="Q162" s="81"/>
      <c r="R162" s="81"/>
    </row>
    <row r="163" spans="1:18" ht="16.5" thickTop="1">
      <c r="A163" s="21"/>
      <c r="B163" s="422" t="s">
        <v>573</v>
      </c>
      <c r="C163" s="429"/>
      <c r="D163" s="379">
        <f>E163/A18</f>
        <v>4974.703333333333</v>
      </c>
      <c r="E163" s="368">
        <f>ROUND(SUM(E157:E162),0)</f>
        <v>5969644</v>
      </c>
      <c r="H163" s="126"/>
      <c r="I163" s="296"/>
      <c r="K163" s="77"/>
      <c r="O163" s="5"/>
      <c r="P163" s="81"/>
      <c r="Q163" s="81"/>
      <c r="R163" s="81"/>
    </row>
    <row r="164" spans="3:18" ht="15.75">
      <c r="C164" s="126"/>
      <c r="H164" s="126"/>
      <c r="I164" s="126"/>
      <c r="K164" s="81"/>
      <c r="P164" s="81"/>
      <c r="Q164" s="81"/>
      <c r="R164" s="81"/>
    </row>
    <row r="165" spans="3:18" ht="15.75">
      <c r="C165" s="126"/>
      <c r="H165" s="126"/>
      <c r="I165" s="126"/>
      <c r="K165" s="81"/>
      <c r="P165" s="81"/>
      <c r="Q165" s="81"/>
      <c r="R165" s="81"/>
    </row>
    <row r="166" spans="3:18" ht="15.75">
      <c r="C166" s="126"/>
      <c r="H166" s="126"/>
      <c r="I166" s="126"/>
      <c r="K166" s="81"/>
      <c r="P166" s="81"/>
      <c r="Q166" s="5"/>
      <c r="R166" s="5"/>
    </row>
    <row r="167" spans="3:16" ht="15.75">
      <c r="C167" s="126"/>
      <c r="H167" s="126"/>
      <c r="I167" s="126"/>
      <c r="K167" s="81"/>
      <c r="P167" s="5"/>
    </row>
    <row r="168" spans="3:11" ht="15.75">
      <c r="C168" s="126"/>
      <c r="H168" s="126"/>
      <c r="I168" s="126"/>
      <c r="K168" s="81"/>
    </row>
    <row r="169" spans="3:11" ht="15.75">
      <c r="C169" s="126"/>
      <c r="H169" s="126"/>
      <c r="I169" s="126"/>
      <c r="K169" s="81"/>
    </row>
    <row r="170" spans="3:11" ht="15.75">
      <c r="C170" s="126"/>
      <c r="H170" s="126"/>
      <c r="I170" s="126"/>
      <c r="K170" s="81"/>
    </row>
    <row r="171" spans="3:11" ht="15.75">
      <c r="C171" s="126"/>
      <c r="H171" s="126"/>
      <c r="I171" s="126"/>
      <c r="K171" s="81"/>
    </row>
    <row r="172" spans="3:11" ht="15.75">
      <c r="C172" s="126"/>
      <c r="H172" s="126"/>
      <c r="I172" s="126"/>
      <c r="K172" s="81"/>
    </row>
    <row r="173" spans="3:11" ht="15.75">
      <c r="C173" s="126"/>
      <c r="H173" s="126"/>
      <c r="I173" s="126"/>
      <c r="K173" s="81"/>
    </row>
    <row r="174" spans="3:11" ht="15.75">
      <c r="C174" s="126"/>
      <c r="H174" s="126"/>
      <c r="I174" s="126"/>
      <c r="K174" s="81"/>
    </row>
    <row r="175" spans="3:11" ht="15.75">
      <c r="C175" s="126"/>
      <c r="H175" s="126"/>
      <c r="I175" s="126"/>
      <c r="K175" s="81"/>
    </row>
    <row r="176" spans="8:11" ht="15.75">
      <c r="H176" s="126"/>
      <c r="I176" s="126"/>
      <c r="K176" s="81"/>
    </row>
    <row r="177" spans="8:11" ht="15.75">
      <c r="H177" s="126"/>
      <c r="I177" s="126"/>
      <c r="K177" s="81"/>
    </row>
    <row r="178" spans="8:11" ht="15.75">
      <c r="H178" s="126"/>
      <c r="I178" s="126"/>
      <c r="K178" s="81"/>
    </row>
    <row r="179" spans="8:11" ht="15.75">
      <c r="H179" s="126"/>
      <c r="I179" s="126"/>
      <c r="K179" s="81"/>
    </row>
    <row r="180" spans="8:11" ht="15.75">
      <c r="H180" s="126"/>
      <c r="I180" s="126"/>
      <c r="K180" s="81"/>
    </row>
    <row r="181" spans="8:11" ht="15.75">
      <c r="H181" s="126"/>
      <c r="I181" s="126"/>
      <c r="K181" s="5"/>
    </row>
    <row r="182" spans="8:9" ht="15.75">
      <c r="H182" s="126"/>
      <c r="I182" s="126"/>
    </row>
    <row r="183" spans="8:9" ht="15.75">
      <c r="H183" s="126"/>
      <c r="I183" s="126"/>
    </row>
    <row r="184" spans="8:9" ht="15.75">
      <c r="H184" s="126"/>
      <c r="I184" s="126"/>
    </row>
    <row r="185" spans="8:9" ht="15.75">
      <c r="H185" s="126"/>
      <c r="I185" s="126"/>
    </row>
    <row r="186" spans="8:9" ht="15.75">
      <c r="H186" s="126"/>
      <c r="I186" s="126"/>
    </row>
    <row r="187" spans="8:9" ht="15.75">
      <c r="H187" s="126"/>
      <c r="I187" s="126"/>
    </row>
    <row r="188" spans="8:9" ht="15.75">
      <c r="H188" s="126"/>
      <c r="I188" s="126"/>
    </row>
    <row r="189" spans="8:9" ht="15.75">
      <c r="H189" s="126"/>
      <c r="I189" s="126"/>
    </row>
    <row r="190" spans="8:9" ht="15.75">
      <c r="H190" s="126"/>
      <c r="I190" s="126"/>
    </row>
    <row r="191" spans="8:9" ht="15.75">
      <c r="H191" s="126"/>
      <c r="I191" s="126"/>
    </row>
    <row r="192" spans="8:9" ht="15.75">
      <c r="H192" s="126"/>
      <c r="I192" s="126"/>
    </row>
    <row r="193" ht="15.75">
      <c r="H193" s="126"/>
    </row>
    <row r="194" ht="15.75">
      <c r="H194" s="126"/>
    </row>
    <row r="195" ht="15.75">
      <c r="H195" s="126"/>
    </row>
    <row r="196" ht="15.75">
      <c r="H196" s="126"/>
    </row>
    <row r="197" ht="15.75">
      <c r="H197" s="126"/>
    </row>
    <row r="198" ht="15.75">
      <c r="H198" s="126"/>
    </row>
    <row r="199" ht="15.75">
      <c r="H199" s="126"/>
    </row>
    <row r="200" ht="15.75">
      <c r="H200" s="126"/>
    </row>
    <row r="201" ht="15.75">
      <c r="H201" s="126"/>
    </row>
    <row r="202" ht="15.75">
      <c r="H202" s="126"/>
    </row>
    <row r="203" ht="15.75">
      <c r="H203" s="126"/>
    </row>
    <row r="204" ht="15.75">
      <c r="H204" s="126"/>
    </row>
    <row r="205" ht="15.75">
      <c r="H205" s="126"/>
    </row>
    <row r="206" ht="15.75">
      <c r="H206" s="126"/>
    </row>
    <row r="207" ht="15.75">
      <c r="H207" s="126"/>
    </row>
    <row r="208" ht="15.75">
      <c r="H208" s="126"/>
    </row>
    <row r="209" ht="15.75">
      <c r="H209" s="126"/>
    </row>
    <row r="210" ht="15.75">
      <c r="H210" s="126"/>
    </row>
    <row r="211" ht="15.75">
      <c r="H211" s="126"/>
    </row>
    <row r="212" ht="15.75">
      <c r="H212" s="126"/>
    </row>
    <row r="213" ht="15.75">
      <c r="H213" s="126"/>
    </row>
    <row r="214" ht="15.75">
      <c r="H214" s="126"/>
    </row>
    <row r="215" ht="15.75">
      <c r="H215" s="126"/>
    </row>
    <row r="216" ht="15.75">
      <c r="H216" s="126"/>
    </row>
    <row r="217" ht="15.75">
      <c r="H217" s="126"/>
    </row>
    <row r="218" ht="15.75">
      <c r="H218" s="126"/>
    </row>
    <row r="219" ht="15.75">
      <c r="H219" s="126"/>
    </row>
    <row r="220" ht="15.75">
      <c r="H220" s="126"/>
    </row>
    <row r="221" ht="15.75">
      <c r="H221" s="126"/>
    </row>
    <row r="222" ht="15.75">
      <c r="H222" s="126"/>
    </row>
    <row r="223" ht="15.75">
      <c r="H223" s="126"/>
    </row>
    <row r="224" ht="15.75">
      <c r="H224" s="126"/>
    </row>
    <row r="225" ht="15.75">
      <c r="H225" s="126"/>
    </row>
    <row r="226" ht="15.75">
      <c r="H226" s="126"/>
    </row>
    <row r="227" ht="15.75">
      <c r="H227" s="126"/>
    </row>
    <row r="228" ht="15.75">
      <c r="H228" s="126"/>
    </row>
    <row r="229" ht="15.75">
      <c r="H229" s="126"/>
    </row>
    <row r="230" ht="15.75">
      <c r="H230" s="126"/>
    </row>
    <row r="231" ht="15.75">
      <c r="H231" s="126"/>
    </row>
    <row r="232" ht="15.75">
      <c r="H232" s="126"/>
    </row>
    <row r="233" ht="15.75">
      <c r="H233" s="126"/>
    </row>
    <row r="234" ht="15.75">
      <c r="H234" s="126"/>
    </row>
    <row r="235" ht="15.75">
      <c r="H235" s="126"/>
    </row>
    <row r="236" ht="15.75">
      <c r="H236" s="126"/>
    </row>
    <row r="237" ht="15.75">
      <c r="H237" s="126"/>
    </row>
    <row r="238" ht="15.75">
      <c r="H238" s="126"/>
    </row>
    <row r="239" ht="15.75">
      <c r="H239" s="126"/>
    </row>
    <row r="240" ht="15.75">
      <c r="H240" s="126"/>
    </row>
    <row r="241" ht="15.75">
      <c r="H241" s="126"/>
    </row>
    <row r="242" ht="15.75">
      <c r="H242" s="126"/>
    </row>
    <row r="243" ht="15.75">
      <c r="H243" s="126"/>
    </row>
    <row r="244" ht="15.75">
      <c r="H244" s="126"/>
    </row>
    <row r="245" ht="15.75">
      <c r="H245" s="126"/>
    </row>
    <row r="246" ht="15.75">
      <c r="H246" s="126"/>
    </row>
    <row r="247" ht="15.75">
      <c r="H247" s="126"/>
    </row>
    <row r="248" ht="15.75">
      <c r="H248" s="126"/>
    </row>
    <row r="249" ht="15.75">
      <c r="H249" s="126"/>
    </row>
    <row r="250" ht="15.75">
      <c r="H250" s="126"/>
    </row>
    <row r="251" ht="15.75">
      <c r="H251" s="126"/>
    </row>
    <row r="252" ht="15.75">
      <c r="H252" s="126"/>
    </row>
    <row r="253" ht="15.75">
      <c r="H253" s="126"/>
    </row>
    <row r="254" ht="15.75">
      <c r="H254" s="126"/>
    </row>
    <row r="255" ht="15.75">
      <c r="H255" s="126"/>
    </row>
    <row r="256" ht="15.75">
      <c r="H256" s="126"/>
    </row>
    <row r="257" ht="15.75">
      <c r="H257" s="126"/>
    </row>
    <row r="258" ht="15.75">
      <c r="H258" s="126"/>
    </row>
    <row r="259" ht="15.75">
      <c r="H259" s="126"/>
    </row>
    <row r="260" ht="15.75">
      <c r="H260" s="126"/>
    </row>
    <row r="261" ht="15.75">
      <c r="H261" s="126"/>
    </row>
    <row r="262" ht="15.75">
      <c r="H262" s="126"/>
    </row>
    <row r="263" ht="15.75">
      <c r="H263" s="126"/>
    </row>
    <row r="264" ht="15.75">
      <c r="H264" s="126"/>
    </row>
    <row r="265" ht="15.75">
      <c r="H265" s="126"/>
    </row>
    <row r="266" ht="15.75">
      <c r="H266" s="126"/>
    </row>
    <row r="267" ht="15.75">
      <c r="H267" s="126"/>
    </row>
    <row r="268" ht="15.75">
      <c r="H268" s="126"/>
    </row>
    <row r="269" ht="15.75">
      <c r="H269" s="126"/>
    </row>
    <row r="270" ht="15.75">
      <c r="H270" s="126"/>
    </row>
    <row r="271" ht="15.75">
      <c r="H271" s="126"/>
    </row>
    <row r="272" ht="15.75">
      <c r="H272" s="126"/>
    </row>
    <row r="273" ht="15.75">
      <c r="H273" s="126"/>
    </row>
    <row r="274" ht="15.75">
      <c r="H274" s="126"/>
    </row>
    <row r="275" ht="15.75">
      <c r="H275" s="126"/>
    </row>
    <row r="276" ht="15.75">
      <c r="H276" s="126"/>
    </row>
    <row r="277" ht="15.75">
      <c r="H277" s="126"/>
    </row>
    <row r="278" ht="15.75">
      <c r="H278" s="126"/>
    </row>
    <row r="279" ht="15.75">
      <c r="H279" s="126"/>
    </row>
    <row r="280" ht="15.75">
      <c r="H280" s="126"/>
    </row>
    <row r="281" ht="15.75">
      <c r="H281" s="126"/>
    </row>
  </sheetData>
  <sheetProtection/>
  <printOptions horizontalCentered="1" verticalCentered="1"/>
  <pageMargins left="0.5" right="0.5" top="0.5" bottom="0.5" header="0.5" footer="0.5"/>
  <pageSetup horizontalDpi="300" verticalDpi="300" orientation="portrait" paperSize="2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Dairy Capital Budget</dc:title>
  <dc:subject>Capital budget model for large dairies</dc:subject>
  <dc:creator>Dairy Management Group</dc:creator>
  <cp:keywords/>
  <dc:description/>
  <cp:lastModifiedBy>devries</cp:lastModifiedBy>
  <cp:lastPrinted>2008-04-10T11:50:28Z</cp:lastPrinted>
  <dcterms:created xsi:type="dcterms:W3CDTF">2002-03-18T15:08:39Z</dcterms:created>
  <dcterms:modified xsi:type="dcterms:W3CDTF">2008-04-10T13:43:20Z</dcterms:modified>
  <cp:category/>
  <cp:version/>
  <cp:contentType/>
  <cp:contentStatus/>
</cp:coreProperties>
</file>